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05" windowWidth="14805" windowHeight="7110" firstSheet="19" activeTab="26"/>
  </bookViews>
  <sheets>
    <sheet name="2015г " sheetId="1" r:id="rId1"/>
    <sheet name="1 кв 2016г " sheetId="4" r:id="rId2"/>
    <sheet name="2 кв 2016г  (2)" sheetId="5" r:id="rId3"/>
    <sheet name="3 кв 2016г " sheetId="6" r:id="rId4"/>
    <sheet name="4 кв 2016г " sheetId="7" r:id="rId5"/>
    <sheet name="2016г  " sheetId="8" r:id="rId6"/>
    <sheet name="1 кв 2017г" sheetId="9" r:id="rId7"/>
    <sheet name="2 кв 2017г " sheetId="10" r:id="rId8"/>
    <sheet name="3 кв 2017г" sheetId="11" r:id="rId9"/>
    <sheet name="4 кв 2017г" sheetId="12" r:id="rId10"/>
    <sheet name="2017г" sheetId="13" r:id="rId11"/>
    <sheet name="1 кв 2018г " sheetId="14" r:id="rId12"/>
    <sheet name="2 кв 2018г" sheetId="15" r:id="rId13"/>
    <sheet name="3 кв 2018г " sheetId="16" r:id="rId14"/>
    <sheet name="2018г" sheetId="17" r:id="rId15"/>
    <sheet name="1 кв 2019г" sheetId="18" r:id="rId16"/>
    <sheet name="2 кв 2019г" sheetId="19" r:id="rId17"/>
    <sheet name="3 кв 2019г" sheetId="20" r:id="rId18"/>
    <sheet name="2019г" sheetId="21" r:id="rId19"/>
    <sheet name="1 кв 2020г" sheetId="22" r:id="rId20"/>
    <sheet name="2 кв 2020г" sheetId="23" r:id="rId21"/>
    <sheet name="3 кв 2020г" sheetId="24" r:id="rId22"/>
    <sheet name="2020г" sheetId="25" r:id="rId23"/>
    <sheet name="1 кв 2021г" sheetId="26" r:id="rId24"/>
    <sheet name="2 кв 2021г" sheetId="27" r:id="rId25"/>
    <sheet name="3 кв 2021г" sheetId="28" r:id="rId26"/>
    <sheet name="2021г" sheetId="29" r:id="rId27"/>
  </sheets>
  <definedNames>
    <definedName name="_xlnm._FilterDatabase" localSheetId="1" hidden="1">'1 кв 2016г '!#REF!</definedName>
    <definedName name="_xlnm._FilterDatabase" localSheetId="6" hidden="1">'1 кв 2017г'!#REF!</definedName>
    <definedName name="_xlnm._FilterDatabase" localSheetId="11" hidden="1">'1 кв 2018г '!#REF!</definedName>
    <definedName name="_xlnm._FilterDatabase" localSheetId="15" hidden="1">'1 кв 2019г'!#REF!</definedName>
    <definedName name="_xlnm._FilterDatabase" localSheetId="19" hidden="1">'1 кв 2020г'!#REF!</definedName>
    <definedName name="_xlnm._FilterDatabase" localSheetId="23" hidden="1">'1 кв 2021г'!#REF!</definedName>
    <definedName name="_xlnm._FilterDatabase" localSheetId="2" hidden="1">'2 кв 2016г  (2)'!#REF!</definedName>
    <definedName name="_xlnm._FilterDatabase" localSheetId="7" hidden="1">'2 кв 2017г '!#REF!</definedName>
    <definedName name="_xlnm._FilterDatabase" localSheetId="12" hidden="1">'2 кв 2018г'!#REF!</definedName>
    <definedName name="_xlnm._FilterDatabase" localSheetId="16" hidden="1">'2 кв 2019г'!#REF!</definedName>
    <definedName name="_xlnm._FilterDatabase" localSheetId="20" hidden="1">'2 кв 2020г'!#REF!</definedName>
    <definedName name="_xlnm._FilterDatabase" localSheetId="24" hidden="1">'2 кв 2021г'!#REF!</definedName>
    <definedName name="_xlnm._FilterDatabase" localSheetId="0" hidden="1">'2015г '!$B$2:$H$2</definedName>
    <definedName name="_xlnm._FilterDatabase" localSheetId="5" hidden="1">'2016г  '!$B$2:$H$2</definedName>
    <definedName name="_xlnm._FilterDatabase" localSheetId="10" hidden="1">'2017г'!$B$2:$H$2</definedName>
    <definedName name="_xlnm._FilterDatabase" localSheetId="14" hidden="1">'2018г'!$B$2:$H$2</definedName>
    <definedName name="_xlnm._FilterDatabase" localSheetId="18" hidden="1">'2019г'!$B$2:$G$2</definedName>
    <definedName name="_xlnm._FilterDatabase" localSheetId="22" hidden="1">'2020г'!$B$2:$G$2</definedName>
    <definedName name="_xlnm._FilterDatabase" localSheetId="26" hidden="1">'2021г'!$B$2:$G$2</definedName>
    <definedName name="_xlnm._FilterDatabase" localSheetId="3" hidden="1">'3 кв 2016г '!#REF!</definedName>
    <definedName name="_xlnm._FilterDatabase" localSheetId="8" hidden="1">'3 кв 2017г'!#REF!</definedName>
    <definedName name="_xlnm._FilterDatabase" localSheetId="13" hidden="1">'3 кв 2018г '!#REF!</definedName>
    <definedName name="_xlnm._FilterDatabase" localSheetId="17" hidden="1">'3 кв 2019г'!#REF!</definedName>
    <definedName name="_xlnm._FilterDatabase" localSheetId="21" hidden="1">'3 кв 2020г'!#REF!</definedName>
    <definedName name="_xlnm._FilterDatabase" localSheetId="25" hidden="1">'3 кв 2021г'!#REF!</definedName>
    <definedName name="_xlnm._FilterDatabase" localSheetId="4" hidden="1">'4 кв 2016г '!#REF!</definedName>
    <definedName name="_xlnm._FilterDatabase" localSheetId="9" hidden="1">'4 кв 2017г'!#REF!</definedName>
    <definedName name="_xlnm.Print_Area" localSheetId="9">'4 кв 2017г'!$A$1:$G$24</definedName>
  </definedNames>
  <calcPr calcId="145621"/>
</workbook>
</file>

<file path=xl/calcChain.xml><?xml version="1.0" encoding="utf-8"?>
<calcChain xmlns="http://schemas.openxmlformats.org/spreadsheetml/2006/main">
  <c r="E22" i="29" l="1"/>
  <c r="C22" i="29"/>
  <c r="F16" i="29"/>
  <c r="E16" i="29"/>
  <c r="D16" i="29"/>
  <c r="C16" i="29"/>
  <c r="C4" i="29"/>
  <c r="F4" i="29"/>
  <c r="E4" i="29"/>
  <c r="E6" i="29" s="1"/>
  <c r="F75" i="29"/>
  <c r="F77" i="29" s="1"/>
  <c r="E75" i="29"/>
  <c r="E77" i="29" s="1"/>
  <c r="D75" i="29"/>
  <c r="D77" i="29" s="1"/>
  <c r="C75" i="29"/>
  <c r="C77" i="29" s="1"/>
  <c r="F72" i="29"/>
  <c r="F74" i="29" s="1"/>
  <c r="E72" i="29"/>
  <c r="E74" i="29" s="1"/>
  <c r="D72" i="29"/>
  <c r="D74" i="29" s="1"/>
  <c r="C72" i="29"/>
  <c r="C74" i="29" s="1"/>
  <c r="F68" i="29"/>
  <c r="F70" i="29" s="1"/>
  <c r="E68" i="29"/>
  <c r="E70" i="29" s="1"/>
  <c r="D68" i="29"/>
  <c r="D70" i="29" s="1"/>
  <c r="C68" i="29"/>
  <c r="C70" i="29" s="1"/>
  <c r="F65" i="29"/>
  <c r="F67" i="29" s="1"/>
  <c r="E65" i="29"/>
  <c r="E67" i="29" s="1"/>
  <c r="D65" i="29"/>
  <c r="D67" i="29" s="1"/>
  <c r="C65" i="29"/>
  <c r="C67" i="29" s="1"/>
  <c r="F61" i="29"/>
  <c r="F63" i="29" s="1"/>
  <c r="E61" i="29"/>
  <c r="E63" i="29" s="1"/>
  <c r="D61" i="29"/>
  <c r="D63" i="29" s="1"/>
  <c r="C61" i="29"/>
  <c r="C63" i="29" s="1"/>
  <c r="F58" i="29"/>
  <c r="F60" i="29" s="1"/>
  <c r="E58" i="29"/>
  <c r="E60" i="29" s="1"/>
  <c r="D58" i="29"/>
  <c r="D60" i="29" s="1"/>
  <c r="C58" i="29"/>
  <c r="C60" i="29" s="1"/>
  <c r="F57" i="29"/>
  <c r="C57" i="29"/>
  <c r="E55" i="29"/>
  <c r="E57" i="29" s="1"/>
  <c r="D55" i="29"/>
  <c r="D57" i="29" s="1"/>
  <c r="F52" i="29"/>
  <c r="F54" i="29" s="1"/>
  <c r="E54" i="29"/>
  <c r="D52" i="29"/>
  <c r="D54" i="29" s="1"/>
  <c r="C52" i="29"/>
  <c r="C54" i="29" s="1"/>
  <c r="F48" i="29"/>
  <c r="F50" i="29" s="1"/>
  <c r="E48" i="29"/>
  <c r="E50" i="29" s="1"/>
  <c r="D48" i="29"/>
  <c r="D50" i="29" s="1"/>
  <c r="C48" i="29"/>
  <c r="C50" i="29" s="1"/>
  <c r="F45" i="29"/>
  <c r="F47" i="29" s="1"/>
  <c r="E45" i="29"/>
  <c r="E47" i="29" s="1"/>
  <c r="D45" i="29"/>
  <c r="D47" i="29" s="1"/>
  <c r="C45" i="29"/>
  <c r="C47" i="29" s="1"/>
  <c r="D44" i="29"/>
  <c r="F42" i="29"/>
  <c r="F44" i="29" s="1"/>
  <c r="E42" i="29"/>
  <c r="E44" i="29" s="1"/>
  <c r="D42" i="29"/>
  <c r="C42" i="29"/>
  <c r="C44" i="29" s="1"/>
  <c r="F39" i="29"/>
  <c r="F41" i="29" s="1"/>
  <c r="E39" i="29"/>
  <c r="E41" i="29" s="1"/>
  <c r="D39" i="29"/>
  <c r="D41" i="29" s="1"/>
  <c r="C39" i="29"/>
  <c r="C41" i="29" s="1"/>
  <c r="F35" i="29"/>
  <c r="F37" i="29" s="1"/>
  <c r="E35" i="29"/>
  <c r="E37" i="29" s="1"/>
  <c r="D35" i="29"/>
  <c r="D37" i="29" s="1"/>
  <c r="C35" i="29"/>
  <c r="C37" i="29" s="1"/>
  <c r="C34" i="29"/>
  <c r="F32" i="29"/>
  <c r="F34" i="29" s="1"/>
  <c r="E32" i="29"/>
  <c r="E34" i="29" s="1"/>
  <c r="D32" i="29"/>
  <c r="D34" i="29" s="1"/>
  <c r="F31" i="29"/>
  <c r="E31" i="29"/>
  <c r="D31" i="29"/>
  <c r="C31" i="29"/>
  <c r="F26" i="29"/>
  <c r="F28" i="29" s="1"/>
  <c r="E26" i="29"/>
  <c r="E28" i="29" s="1"/>
  <c r="D26" i="29"/>
  <c r="D28" i="29" s="1"/>
  <c r="C26" i="29"/>
  <c r="C28" i="29" s="1"/>
  <c r="E25" i="29"/>
  <c r="D25" i="29"/>
  <c r="F23" i="29"/>
  <c r="F25" i="29" s="1"/>
  <c r="E23" i="29"/>
  <c r="D23" i="29"/>
  <c r="C23" i="29"/>
  <c r="C25" i="29" s="1"/>
  <c r="F22" i="29"/>
  <c r="D22" i="29"/>
  <c r="F18" i="29"/>
  <c r="E18" i="29"/>
  <c r="D18" i="29"/>
  <c r="C18" i="29"/>
  <c r="F13" i="29"/>
  <c r="F15" i="29" s="1"/>
  <c r="E13" i="29"/>
  <c r="E15" i="29" s="1"/>
  <c r="D13" i="29"/>
  <c r="D15" i="29" s="1"/>
  <c r="C13" i="29"/>
  <c r="C15" i="29" s="1"/>
  <c r="F10" i="29"/>
  <c r="F12" i="29" s="1"/>
  <c r="E10" i="29"/>
  <c r="E12" i="29" s="1"/>
  <c r="D10" i="29"/>
  <c r="D12" i="29" s="1"/>
  <c r="C10" i="29"/>
  <c r="C12" i="29" s="1"/>
  <c r="D9" i="29"/>
  <c r="C9" i="29"/>
  <c r="F7" i="29"/>
  <c r="F9" i="29" s="1"/>
  <c r="E7" i="29"/>
  <c r="E9" i="29" s="1"/>
  <c r="D7" i="29"/>
  <c r="F6" i="29"/>
  <c r="D4" i="29"/>
  <c r="D6" i="29" s="1"/>
  <c r="D78" i="29" s="1"/>
  <c r="D81" i="29" s="1"/>
  <c r="C6" i="29"/>
  <c r="E78" i="29" l="1"/>
  <c r="E81" i="29" s="1"/>
  <c r="F78" i="29"/>
  <c r="F81" i="29" s="1"/>
  <c r="C78" i="29"/>
  <c r="F15" i="28"/>
  <c r="F16" i="28" s="1"/>
  <c r="F19" i="28" s="1"/>
  <c r="E15" i="28"/>
  <c r="E16" i="28" s="1"/>
  <c r="E19" i="28" s="1"/>
  <c r="D15" i="28"/>
  <c r="D16" i="28" s="1"/>
  <c r="D19" i="28" s="1"/>
  <c r="C15" i="28"/>
  <c r="C16" i="28" s="1"/>
  <c r="F16" i="27"/>
  <c r="F19" i="27" s="1"/>
  <c r="F15" i="27"/>
  <c r="E15" i="27"/>
  <c r="E16" i="27" s="1"/>
  <c r="E19" i="27" s="1"/>
  <c r="D15" i="27"/>
  <c r="D16" i="27" s="1"/>
  <c r="D19" i="27" s="1"/>
  <c r="C15" i="27"/>
  <c r="C16" i="27" s="1"/>
  <c r="C80" i="29" l="1"/>
  <c r="C81" i="29"/>
  <c r="C19" i="28"/>
  <c r="C18" i="28"/>
  <c r="C19" i="27"/>
  <c r="C18" i="27"/>
  <c r="F15" i="26"/>
  <c r="F16" i="26" s="1"/>
  <c r="F19" i="26" s="1"/>
  <c r="E15" i="26"/>
  <c r="E16" i="26" s="1"/>
  <c r="E19" i="26" s="1"/>
  <c r="D15" i="26"/>
  <c r="D16" i="26" s="1"/>
  <c r="D19" i="26" s="1"/>
  <c r="C15" i="26"/>
  <c r="C16" i="26" s="1"/>
  <c r="C18" i="26" l="1"/>
  <c r="C19" i="26"/>
  <c r="F22" i="25"/>
  <c r="E22" i="25"/>
  <c r="C22" i="25"/>
  <c r="F16" i="25"/>
  <c r="D16" i="25"/>
  <c r="C16" i="25"/>
  <c r="C10" i="25" l="1"/>
  <c r="F4" i="25"/>
  <c r="E4" i="25"/>
  <c r="C4" i="25"/>
  <c r="C6" i="25" s="1"/>
  <c r="F75" i="25"/>
  <c r="F77" i="25" s="1"/>
  <c r="E75" i="25"/>
  <c r="E77" i="25" s="1"/>
  <c r="D75" i="25"/>
  <c r="D77" i="25" s="1"/>
  <c r="C75" i="25"/>
  <c r="C77" i="25" s="1"/>
  <c r="F72" i="25"/>
  <c r="F74" i="25" s="1"/>
  <c r="E72" i="25"/>
  <c r="E74" i="25" s="1"/>
  <c r="D72" i="25"/>
  <c r="D74" i="25" s="1"/>
  <c r="C72" i="25"/>
  <c r="C74" i="25" s="1"/>
  <c r="F68" i="25"/>
  <c r="F70" i="25" s="1"/>
  <c r="E68" i="25"/>
  <c r="E70" i="25" s="1"/>
  <c r="D68" i="25"/>
  <c r="D70" i="25" s="1"/>
  <c r="C68" i="25"/>
  <c r="C70" i="25" s="1"/>
  <c r="F65" i="25"/>
  <c r="F67" i="25" s="1"/>
  <c r="E65" i="25"/>
  <c r="E67" i="25" s="1"/>
  <c r="D65" i="25"/>
  <c r="D67" i="25" s="1"/>
  <c r="C65" i="25"/>
  <c r="C67" i="25" s="1"/>
  <c r="F61" i="25"/>
  <c r="F63" i="25" s="1"/>
  <c r="E61" i="25"/>
  <c r="E63" i="25" s="1"/>
  <c r="D61" i="25"/>
  <c r="D63" i="25" s="1"/>
  <c r="C61" i="25"/>
  <c r="C63" i="25" s="1"/>
  <c r="F58" i="25"/>
  <c r="F60" i="25" s="1"/>
  <c r="E58" i="25"/>
  <c r="E60" i="25" s="1"/>
  <c r="D58" i="25"/>
  <c r="D60" i="25" s="1"/>
  <c r="C58" i="25"/>
  <c r="C60" i="25" s="1"/>
  <c r="F57" i="25"/>
  <c r="E57" i="25"/>
  <c r="D57" i="25"/>
  <c r="C57" i="25"/>
  <c r="E55" i="25"/>
  <c r="D55" i="25"/>
  <c r="F52" i="25"/>
  <c r="F54" i="25" s="1"/>
  <c r="E52" i="25"/>
  <c r="E54" i="25" s="1"/>
  <c r="D52" i="25"/>
  <c r="D54" i="25" s="1"/>
  <c r="C52" i="25"/>
  <c r="C54" i="25" s="1"/>
  <c r="F48" i="25"/>
  <c r="F50" i="25" s="1"/>
  <c r="E48" i="25"/>
  <c r="E50" i="25" s="1"/>
  <c r="D48" i="25"/>
  <c r="D50" i="25" s="1"/>
  <c r="C48" i="25"/>
  <c r="C50" i="25" s="1"/>
  <c r="F45" i="25"/>
  <c r="F47" i="25" s="1"/>
  <c r="E45" i="25"/>
  <c r="E47" i="25" s="1"/>
  <c r="D45" i="25"/>
  <c r="D47" i="25" s="1"/>
  <c r="C45" i="25"/>
  <c r="C47" i="25" s="1"/>
  <c r="F42" i="25"/>
  <c r="F44" i="25" s="1"/>
  <c r="E42" i="25"/>
  <c r="E44" i="25" s="1"/>
  <c r="D42" i="25"/>
  <c r="D44" i="25" s="1"/>
  <c r="C42" i="25"/>
  <c r="C44" i="25" s="1"/>
  <c r="F39" i="25"/>
  <c r="F41" i="25" s="1"/>
  <c r="E39" i="25"/>
  <c r="E41" i="25" s="1"/>
  <c r="D39" i="25"/>
  <c r="D41" i="25" s="1"/>
  <c r="C39" i="25"/>
  <c r="C41" i="25" s="1"/>
  <c r="F35" i="25"/>
  <c r="F37" i="25" s="1"/>
  <c r="E35" i="25"/>
  <c r="E37" i="25" s="1"/>
  <c r="D35" i="25"/>
  <c r="D37" i="25" s="1"/>
  <c r="C35" i="25"/>
  <c r="C37" i="25" s="1"/>
  <c r="C34" i="25"/>
  <c r="F32" i="25"/>
  <c r="F34" i="25" s="1"/>
  <c r="E32" i="25"/>
  <c r="E34" i="25" s="1"/>
  <c r="D32" i="25"/>
  <c r="D34" i="25" s="1"/>
  <c r="F31" i="25"/>
  <c r="E31" i="25"/>
  <c r="D31" i="25"/>
  <c r="C31" i="25"/>
  <c r="E28" i="25"/>
  <c r="F26" i="25"/>
  <c r="F28" i="25" s="1"/>
  <c r="E26" i="25"/>
  <c r="D26" i="25"/>
  <c r="D28" i="25" s="1"/>
  <c r="C26" i="25"/>
  <c r="C28" i="25" s="1"/>
  <c r="E25" i="25"/>
  <c r="D25" i="25"/>
  <c r="F23" i="25"/>
  <c r="F25" i="25" s="1"/>
  <c r="E23" i="25"/>
  <c r="D23" i="25"/>
  <c r="C23" i="25"/>
  <c r="C25" i="25" s="1"/>
  <c r="D22" i="25"/>
  <c r="F18" i="25"/>
  <c r="E16" i="25"/>
  <c r="E18" i="25" s="1"/>
  <c r="D18" i="25"/>
  <c r="C18" i="25"/>
  <c r="F13" i="25"/>
  <c r="F15" i="25" s="1"/>
  <c r="E13" i="25"/>
  <c r="E15" i="25" s="1"/>
  <c r="D13" i="25"/>
  <c r="D15" i="25" s="1"/>
  <c r="C13" i="25"/>
  <c r="C15" i="25" s="1"/>
  <c r="F10" i="25"/>
  <c r="F12" i="25" s="1"/>
  <c r="E10" i="25"/>
  <c r="E12" i="25" s="1"/>
  <c r="D10" i="25"/>
  <c r="D12" i="25" s="1"/>
  <c r="C12" i="25"/>
  <c r="F7" i="25"/>
  <c r="F9" i="25" s="1"/>
  <c r="E7" i="25"/>
  <c r="E9" i="25" s="1"/>
  <c r="D7" i="25"/>
  <c r="D9" i="25" s="1"/>
  <c r="C9" i="25"/>
  <c r="F6" i="25"/>
  <c r="E6" i="25"/>
  <c r="E78" i="25" s="1"/>
  <c r="E81" i="25" s="1"/>
  <c r="D4" i="25"/>
  <c r="D6" i="25" s="1"/>
  <c r="C78" i="25" l="1"/>
  <c r="D78" i="25"/>
  <c r="D81" i="25" s="1"/>
  <c r="F78" i="25"/>
  <c r="F81" i="25" s="1"/>
  <c r="F15" i="24"/>
  <c r="F16" i="24" s="1"/>
  <c r="F19" i="24" s="1"/>
  <c r="E15" i="24"/>
  <c r="E16" i="24" s="1"/>
  <c r="E19" i="24" s="1"/>
  <c r="D15" i="24"/>
  <c r="D16" i="24" s="1"/>
  <c r="D19" i="24" s="1"/>
  <c r="C15" i="24"/>
  <c r="C16" i="24" s="1"/>
  <c r="C80" i="25" l="1"/>
  <c r="C81" i="25"/>
  <c r="C18" i="24"/>
  <c r="C19" i="24"/>
  <c r="F15" i="23"/>
  <c r="F16" i="23" s="1"/>
  <c r="F19" i="23" s="1"/>
  <c r="E15" i="23"/>
  <c r="E16" i="23" s="1"/>
  <c r="E19" i="23" s="1"/>
  <c r="D15" i="23"/>
  <c r="D16" i="23" s="1"/>
  <c r="D19" i="23" s="1"/>
  <c r="C15" i="23"/>
  <c r="C16" i="23" s="1"/>
  <c r="C18" i="23" l="1"/>
  <c r="C19" i="23"/>
  <c r="F15" i="22"/>
  <c r="F16" i="22" s="1"/>
  <c r="F19" i="22" s="1"/>
  <c r="E15" i="22"/>
  <c r="E16" i="22" s="1"/>
  <c r="E19" i="22" s="1"/>
  <c r="D15" i="22"/>
  <c r="D16" i="22" s="1"/>
  <c r="D19" i="22" s="1"/>
  <c r="C15" i="22"/>
  <c r="C16" i="22" s="1"/>
  <c r="C19" i="22" l="1"/>
  <c r="C18" i="22"/>
  <c r="F22" i="21"/>
  <c r="C22" i="21"/>
  <c r="F26" i="21"/>
  <c r="D31" i="21"/>
  <c r="E31" i="21"/>
  <c r="F31" i="21"/>
  <c r="D22" i="21"/>
  <c r="D16" i="21" l="1"/>
  <c r="D18" i="21" s="1"/>
  <c r="C16" i="21"/>
  <c r="F16" i="21"/>
  <c r="E16" i="21"/>
  <c r="C10" i="21"/>
  <c r="D13" i="21"/>
  <c r="E13" i="21"/>
  <c r="F13" i="21"/>
  <c r="C13" i="21"/>
  <c r="C15" i="21" s="1"/>
  <c r="C7" i="21"/>
  <c r="C9" i="21" s="1"/>
  <c r="F4" i="21"/>
  <c r="F6" i="21" s="1"/>
  <c r="E4" i="21"/>
  <c r="C4" i="21"/>
  <c r="F75" i="21"/>
  <c r="F77" i="21" s="1"/>
  <c r="E75" i="21"/>
  <c r="E77" i="21" s="1"/>
  <c r="D75" i="21"/>
  <c r="D77" i="21" s="1"/>
  <c r="C75" i="21"/>
  <c r="C77" i="21" s="1"/>
  <c r="D74" i="21"/>
  <c r="F72" i="21"/>
  <c r="F74" i="21" s="1"/>
  <c r="E72" i="21"/>
  <c r="E74" i="21" s="1"/>
  <c r="D72" i="21"/>
  <c r="C72" i="21"/>
  <c r="C74" i="21" s="1"/>
  <c r="F68" i="21"/>
  <c r="F70" i="21" s="1"/>
  <c r="E68" i="21"/>
  <c r="E70" i="21" s="1"/>
  <c r="D68" i="21"/>
  <c r="D70" i="21" s="1"/>
  <c r="C68" i="21"/>
  <c r="C70" i="21" s="1"/>
  <c r="F65" i="21"/>
  <c r="F67" i="21" s="1"/>
  <c r="E65" i="21"/>
  <c r="E67" i="21" s="1"/>
  <c r="D65" i="21"/>
  <c r="D67" i="21" s="1"/>
  <c r="C65" i="21"/>
  <c r="C67" i="21" s="1"/>
  <c r="F61" i="21"/>
  <c r="F63" i="21" s="1"/>
  <c r="E61" i="21"/>
  <c r="E63" i="21" s="1"/>
  <c r="D61" i="21"/>
  <c r="D63" i="21" s="1"/>
  <c r="C61" i="21"/>
  <c r="C63" i="21" s="1"/>
  <c r="F58" i="21"/>
  <c r="F60" i="21" s="1"/>
  <c r="E58" i="21"/>
  <c r="E60" i="21" s="1"/>
  <c r="D58" i="21"/>
  <c r="D60" i="21" s="1"/>
  <c r="C58" i="21"/>
  <c r="C60" i="21" s="1"/>
  <c r="F57" i="21"/>
  <c r="C57" i="21"/>
  <c r="E55" i="21"/>
  <c r="E57" i="21" s="1"/>
  <c r="D55" i="21"/>
  <c r="D57" i="21" s="1"/>
  <c r="F52" i="21"/>
  <c r="F54" i="21" s="1"/>
  <c r="E52" i="21"/>
  <c r="E54" i="21" s="1"/>
  <c r="D52" i="21"/>
  <c r="D54" i="21" s="1"/>
  <c r="C52" i="21"/>
  <c r="C54" i="21" s="1"/>
  <c r="D50" i="21"/>
  <c r="F48" i="21"/>
  <c r="F50" i="21" s="1"/>
  <c r="E48" i="21"/>
  <c r="E50" i="21" s="1"/>
  <c r="D48" i="21"/>
  <c r="C48" i="21"/>
  <c r="C50" i="21" s="1"/>
  <c r="F45" i="21"/>
  <c r="F47" i="21" s="1"/>
  <c r="E45" i="21"/>
  <c r="E47" i="21" s="1"/>
  <c r="D45" i="21"/>
  <c r="D47" i="21" s="1"/>
  <c r="C45" i="21"/>
  <c r="C47" i="21" s="1"/>
  <c r="D44" i="21"/>
  <c r="F42" i="21"/>
  <c r="F44" i="21" s="1"/>
  <c r="E42" i="21"/>
  <c r="E44" i="21" s="1"/>
  <c r="D42" i="21"/>
  <c r="C42" i="21"/>
  <c r="C44" i="21" s="1"/>
  <c r="F39" i="21"/>
  <c r="F41" i="21" s="1"/>
  <c r="E39" i="21"/>
  <c r="E41" i="21" s="1"/>
  <c r="D39" i="21"/>
  <c r="D41" i="21" s="1"/>
  <c r="C39" i="21"/>
  <c r="C41" i="21" s="1"/>
  <c r="F35" i="21"/>
  <c r="F37" i="21" s="1"/>
  <c r="E35" i="21"/>
  <c r="E37" i="21" s="1"/>
  <c r="D35" i="21"/>
  <c r="D37" i="21" s="1"/>
  <c r="C35" i="21"/>
  <c r="C37" i="21" s="1"/>
  <c r="C34" i="21"/>
  <c r="F32" i="21"/>
  <c r="F34" i="21" s="1"/>
  <c r="E32" i="21"/>
  <c r="E34" i="21" s="1"/>
  <c r="D32" i="21"/>
  <c r="D34" i="21" s="1"/>
  <c r="C31" i="21"/>
  <c r="F28" i="21"/>
  <c r="E26" i="21"/>
  <c r="E28" i="21" s="1"/>
  <c r="D26" i="21"/>
  <c r="D28" i="21" s="1"/>
  <c r="C26" i="21"/>
  <c r="C28" i="21" s="1"/>
  <c r="E25" i="21"/>
  <c r="D25" i="21"/>
  <c r="F23" i="21"/>
  <c r="F25" i="21" s="1"/>
  <c r="E23" i="21"/>
  <c r="D23" i="21"/>
  <c r="C23" i="21"/>
  <c r="C25" i="21" s="1"/>
  <c r="E22" i="21"/>
  <c r="F18" i="21"/>
  <c r="E18" i="21"/>
  <c r="C18" i="21"/>
  <c r="F15" i="21"/>
  <c r="E15" i="21"/>
  <c r="D15" i="21"/>
  <c r="F10" i="21"/>
  <c r="F12" i="21" s="1"/>
  <c r="E10" i="21"/>
  <c r="E12" i="21" s="1"/>
  <c r="D10" i="21"/>
  <c r="D12" i="21" s="1"/>
  <c r="C12" i="21"/>
  <c r="F7" i="21"/>
  <c r="F9" i="21" s="1"/>
  <c r="E7" i="21"/>
  <c r="E9" i="21" s="1"/>
  <c r="D7" i="21"/>
  <c r="D9" i="21" s="1"/>
  <c r="E6" i="21"/>
  <c r="D4" i="21"/>
  <c r="D6" i="21" s="1"/>
  <c r="C6" i="21"/>
  <c r="D78" i="21" l="1"/>
  <c r="D81" i="21" s="1"/>
  <c r="C78" i="21"/>
  <c r="F78" i="21"/>
  <c r="F81" i="21" s="1"/>
  <c r="E78" i="21"/>
  <c r="E81" i="21" s="1"/>
  <c r="F15" i="20"/>
  <c r="F16" i="20" s="1"/>
  <c r="F19" i="20" s="1"/>
  <c r="E15" i="20"/>
  <c r="E16" i="20" s="1"/>
  <c r="E19" i="20" s="1"/>
  <c r="D15" i="20"/>
  <c r="D16" i="20" s="1"/>
  <c r="D19" i="20" s="1"/>
  <c r="C15" i="20"/>
  <c r="C16" i="20" s="1"/>
  <c r="C80" i="21" l="1"/>
  <c r="C81" i="21"/>
  <c r="C18" i="20"/>
  <c r="C19" i="20"/>
  <c r="F15" i="19"/>
  <c r="F16" i="19" s="1"/>
  <c r="F19" i="19" s="1"/>
  <c r="E15" i="19"/>
  <c r="E16" i="19" s="1"/>
  <c r="E19" i="19" s="1"/>
  <c r="D15" i="19"/>
  <c r="D16" i="19" s="1"/>
  <c r="D19" i="19" s="1"/>
  <c r="C15" i="19"/>
  <c r="C16" i="19" s="1"/>
  <c r="C18" i="19" l="1"/>
  <c r="C19" i="19"/>
  <c r="F15" i="18"/>
  <c r="F16" i="18" s="1"/>
  <c r="F19" i="18" s="1"/>
  <c r="E15" i="18"/>
  <c r="E16" i="18" s="1"/>
  <c r="E19" i="18" s="1"/>
  <c r="D15" i="18"/>
  <c r="D16" i="18" s="1"/>
  <c r="D19" i="18" s="1"/>
  <c r="C15" i="18"/>
  <c r="C16" i="18" s="1"/>
  <c r="C18" i="18" s="1"/>
  <c r="C19" i="18" l="1"/>
  <c r="D78" i="17"/>
  <c r="E78" i="17"/>
  <c r="F78" i="17"/>
  <c r="G78" i="17"/>
  <c r="C22" i="17"/>
  <c r="D22" i="17"/>
  <c r="D48" i="17"/>
  <c r="E48" i="17"/>
  <c r="F48" i="17"/>
  <c r="G48" i="17"/>
  <c r="D31" i="17"/>
  <c r="G26" i="17"/>
  <c r="F26" i="17"/>
  <c r="G16" i="17"/>
  <c r="F16" i="17"/>
  <c r="E16" i="17"/>
  <c r="D16" i="17"/>
  <c r="C16" i="17"/>
  <c r="C7" i="17"/>
  <c r="D7" i="17"/>
  <c r="E7" i="17"/>
  <c r="F7" i="17"/>
  <c r="G7" i="17"/>
  <c r="C10" i="17"/>
  <c r="D10" i="17"/>
  <c r="E10" i="17"/>
  <c r="F10" i="17"/>
  <c r="G10" i="17"/>
  <c r="G4" i="17" l="1"/>
  <c r="F4" i="17"/>
  <c r="E4" i="17"/>
  <c r="E6" i="17" s="1"/>
  <c r="C4" i="17"/>
  <c r="C6" i="17" s="1"/>
  <c r="G77" i="17"/>
  <c r="E77" i="17"/>
  <c r="C77" i="17"/>
  <c r="G75" i="17"/>
  <c r="F75" i="17"/>
  <c r="F77" i="17" s="1"/>
  <c r="E75" i="17"/>
  <c r="D75" i="17"/>
  <c r="D77" i="17" s="1"/>
  <c r="C75" i="17"/>
  <c r="G74" i="17"/>
  <c r="E74" i="17"/>
  <c r="C74" i="17"/>
  <c r="G72" i="17"/>
  <c r="F72" i="17"/>
  <c r="F74" i="17" s="1"/>
  <c r="E72" i="17"/>
  <c r="D72" i="17"/>
  <c r="D74" i="17" s="1"/>
  <c r="C72" i="17"/>
  <c r="G70" i="17"/>
  <c r="E70" i="17"/>
  <c r="C70" i="17"/>
  <c r="G68" i="17"/>
  <c r="F68" i="17"/>
  <c r="F70" i="17" s="1"/>
  <c r="E68" i="17"/>
  <c r="D68" i="17"/>
  <c r="D70" i="17" s="1"/>
  <c r="C68" i="17"/>
  <c r="G67" i="17"/>
  <c r="E67" i="17"/>
  <c r="C67" i="17"/>
  <c r="G65" i="17"/>
  <c r="F65" i="17"/>
  <c r="F67" i="17" s="1"/>
  <c r="E65" i="17"/>
  <c r="D65" i="17"/>
  <c r="D67" i="17" s="1"/>
  <c r="C65" i="17"/>
  <c r="G63" i="17"/>
  <c r="E63" i="17"/>
  <c r="C63" i="17"/>
  <c r="G61" i="17"/>
  <c r="F61" i="17"/>
  <c r="F63" i="17" s="1"/>
  <c r="E61" i="17"/>
  <c r="D61" i="17"/>
  <c r="D63" i="17" s="1"/>
  <c r="C61" i="17"/>
  <c r="G60" i="17"/>
  <c r="E60" i="17"/>
  <c r="C60" i="17"/>
  <c r="G58" i="17"/>
  <c r="F58" i="17"/>
  <c r="F60" i="17" s="1"/>
  <c r="E58" i="17"/>
  <c r="D58" i="17"/>
  <c r="D60" i="17" s="1"/>
  <c r="C58" i="17"/>
  <c r="G57" i="17"/>
  <c r="E57" i="17"/>
  <c r="C57" i="17"/>
  <c r="F55" i="17"/>
  <c r="F57" i="17" s="1"/>
  <c r="E55" i="17"/>
  <c r="D55" i="17"/>
  <c r="D57" i="17" s="1"/>
  <c r="F54" i="17"/>
  <c r="D54" i="17"/>
  <c r="G52" i="17"/>
  <c r="G54" i="17" s="1"/>
  <c r="F52" i="17"/>
  <c r="E52" i="17"/>
  <c r="E54" i="17" s="1"/>
  <c r="D52" i="17"/>
  <c r="C52" i="17"/>
  <c r="C54" i="17" s="1"/>
  <c r="F50" i="17"/>
  <c r="D50" i="17"/>
  <c r="G50" i="17"/>
  <c r="E50" i="17"/>
  <c r="C48" i="17"/>
  <c r="C50" i="17" s="1"/>
  <c r="F47" i="17"/>
  <c r="D47" i="17"/>
  <c r="G45" i="17"/>
  <c r="G47" i="17" s="1"/>
  <c r="F45" i="17"/>
  <c r="E45" i="17"/>
  <c r="E47" i="17" s="1"/>
  <c r="D45" i="17"/>
  <c r="C45" i="17"/>
  <c r="C47" i="17" s="1"/>
  <c r="F44" i="17"/>
  <c r="D44" i="17"/>
  <c r="G42" i="17"/>
  <c r="G44" i="17" s="1"/>
  <c r="F42" i="17"/>
  <c r="E42" i="17"/>
  <c r="E44" i="17" s="1"/>
  <c r="D42" i="17"/>
  <c r="C42" i="17"/>
  <c r="C44" i="17" s="1"/>
  <c r="F41" i="17"/>
  <c r="D41" i="17"/>
  <c r="G39" i="17"/>
  <c r="G41" i="17" s="1"/>
  <c r="F39" i="17"/>
  <c r="E39" i="17"/>
  <c r="E41" i="17" s="1"/>
  <c r="D39" i="17"/>
  <c r="C39" i="17"/>
  <c r="C41" i="17" s="1"/>
  <c r="F37" i="17"/>
  <c r="D37" i="17"/>
  <c r="G35" i="17"/>
  <c r="G37" i="17" s="1"/>
  <c r="F35" i="17"/>
  <c r="E35" i="17"/>
  <c r="E37" i="17" s="1"/>
  <c r="D35" i="17"/>
  <c r="C35" i="17"/>
  <c r="C37" i="17" s="1"/>
  <c r="F34" i="17"/>
  <c r="D34" i="17"/>
  <c r="C34" i="17"/>
  <c r="G32" i="17"/>
  <c r="G34" i="17" s="1"/>
  <c r="F32" i="17"/>
  <c r="E32" i="17"/>
  <c r="E34" i="17" s="1"/>
  <c r="D32" i="17"/>
  <c r="G31" i="17"/>
  <c r="F31" i="17"/>
  <c r="E31" i="17"/>
  <c r="C31" i="17"/>
  <c r="F28" i="17"/>
  <c r="D28" i="17"/>
  <c r="G28" i="17"/>
  <c r="E26" i="17"/>
  <c r="E28" i="17" s="1"/>
  <c r="D26" i="17"/>
  <c r="C26" i="17"/>
  <c r="C28" i="17" s="1"/>
  <c r="F25" i="17"/>
  <c r="E25" i="17"/>
  <c r="D25" i="17"/>
  <c r="G23" i="17"/>
  <c r="G25" i="17" s="1"/>
  <c r="F23" i="17"/>
  <c r="E23" i="17"/>
  <c r="D23" i="17"/>
  <c r="C23" i="17"/>
  <c r="C25" i="17" s="1"/>
  <c r="G22" i="17"/>
  <c r="F22" i="17"/>
  <c r="E22" i="17"/>
  <c r="G18" i="17"/>
  <c r="E18" i="17"/>
  <c r="C18" i="17"/>
  <c r="F18" i="17"/>
  <c r="D18" i="17"/>
  <c r="G15" i="17"/>
  <c r="F15" i="17"/>
  <c r="E15" i="17"/>
  <c r="D15" i="17"/>
  <c r="C15" i="17"/>
  <c r="F12" i="17"/>
  <c r="D12" i="17"/>
  <c r="G12" i="17"/>
  <c r="E12" i="17"/>
  <c r="C12" i="17"/>
  <c r="F9" i="17"/>
  <c r="D9" i="17"/>
  <c r="G9" i="17"/>
  <c r="E9" i="17"/>
  <c r="C9" i="17"/>
  <c r="F6" i="17"/>
  <c r="D6" i="17"/>
  <c r="G6" i="17"/>
  <c r="D4" i="17"/>
  <c r="C78" i="17" l="1"/>
  <c r="C81" i="17" s="1"/>
  <c r="G81" i="17"/>
  <c r="D81" i="17"/>
  <c r="E81" i="17"/>
  <c r="F81" i="17"/>
  <c r="D16" i="16"/>
  <c r="D19" i="16" s="1"/>
  <c r="G15" i="16"/>
  <c r="G16" i="16" s="1"/>
  <c r="G19" i="16" s="1"/>
  <c r="F15" i="16"/>
  <c r="F16" i="16" s="1"/>
  <c r="F19" i="16" s="1"/>
  <c r="E15" i="16"/>
  <c r="E16" i="16" s="1"/>
  <c r="E19" i="16" s="1"/>
  <c r="D15" i="16"/>
  <c r="C15" i="16"/>
  <c r="C16" i="16" s="1"/>
  <c r="C80" i="17" l="1"/>
  <c r="C19" i="16"/>
  <c r="C18" i="16"/>
  <c r="G16" i="15"/>
  <c r="G19" i="15" s="1"/>
  <c r="C16" i="15"/>
  <c r="C19" i="15" s="1"/>
  <c r="G15" i="15"/>
  <c r="F15" i="15"/>
  <c r="F16" i="15" s="1"/>
  <c r="F19" i="15" s="1"/>
  <c r="E15" i="15"/>
  <c r="E16" i="15" s="1"/>
  <c r="E19" i="15" s="1"/>
  <c r="D15" i="15"/>
  <c r="D16" i="15" s="1"/>
  <c r="D19" i="15" s="1"/>
  <c r="C15" i="15"/>
  <c r="C18" i="15" l="1"/>
  <c r="F16" i="14"/>
  <c r="F19" i="14" s="1"/>
  <c r="G15" i="14"/>
  <c r="G16" i="14" s="1"/>
  <c r="G19" i="14" s="1"/>
  <c r="F15" i="14"/>
  <c r="E15" i="14"/>
  <c r="E16" i="14" s="1"/>
  <c r="E19" i="14" s="1"/>
  <c r="D15" i="14"/>
  <c r="D16" i="14" s="1"/>
  <c r="D19" i="14" s="1"/>
  <c r="C15" i="14"/>
  <c r="C16" i="14" s="1"/>
  <c r="C19" i="14" l="1"/>
  <c r="C18" i="14"/>
  <c r="G81" i="13"/>
  <c r="F81" i="13"/>
  <c r="E81" i="13"/>
  <c r="D81" i="13"/>
  <c r="C81" i="13"/>
  <c r="C80" i="13"/>
  <c r="C16" i="13"/>
  <c r="G23" i="13"/>
  <c r="C23" i="13"/>
  <c r="C48" i="13" l="1"/>
  <c r="D55" i="13"/>
  <c r="E55" i="13"/>
  <c r="C34" i="13"/>
  <c r="C28" i="13"/>
  <c r="D28" i="13"/>
  <c r="E28" i="13"/>
  <c r="C26" i="13"/>
  <c r="D26" i="13"/>
  <c r="E26" i="13"/>
  <c r="E25" i="13"/>
  <c r="F25" i="13"/>
  <c r="E23" i="13"/>
  <c r="F23" i="13"/>
  <c r="D25" i="13"/>
  <c r="D23" i="13"/>
  <c r="G55" i="13"/>
  <c r="F55" i="13"/>
  <c r="F52" i="13"/>
  <c r="G16" i="13" l="1"/>
  <c r="G7" i="13"/>
  <c r="F39" i="13" l="1"/>
  <c r="G39" i="13"/>
  <c r="C39" i="13"/>
  <c r="D48" i="13"/>
  <c r="C10" i="13" l="1"/>
  <c r="C12" i="13" s="1"/>
  <c r="C9" i="13"/>
  <c r="C7" i="13"/>
  <c r="G26" i="13"/>
  <c r="F26" i="13"/>
  <c r="G22" i="13"/>
  <c r="C22" i="13"/>
  <c r="F16" i="13"/>
  <c r="F10" i="13"/>
  <c r="F7" i="13"/>
  <c r="G4" i="13" l="1"/>
  <c r="F4" i="13"/>
  <c r="C4" i="13"/>
  <c r="D4" i="13"/>
  <c r="G77" i="13" l="1"/>
  <c r="C77" i="13"/>
  <c r="G75" i="13"/>
  <c r="F75" i="13"/>
  <c r="F77" i="13" s="1"/>
  <c r="E75" i="13"/>
  <c r="E77" i="13" s="1"/>
  <c r="D75" i="13"/>
  <c r="D77" i="13" s="1"/>
  <c r="C75" i="13"/>
  <c r="E74" i="13"/>
  <c r="G72" i="13"/>
  <c r="G74" i="13" s="1"/>
  <c r="F72" i="13"/>
  <c r="F74" i="13" s="1"/>
  <c r="E72" i="13"/>
  <c r="D72" i="13"/>
  <c r="D74" i="13" s="1"/>
  <c r="C72" i="13"/>
  <c r="C74" i="13" s="1"/>
  <c r="G70" i="13"/>
  <c r="C70" i="13"/>
  <c r="G68" i="13"/>
  <c r="F68" i="13"/>
  <c r="F70" i="13" s="1"/>
  <c r="E68" i="13"/>
  <c r="E70" i="13" s="1"/>
  <c r="D68" i="13"/>
  <c r="D70" i="13" s="1"/>
  <c r="C68" i="13"/>
  <c r="E67" i="13"/>
  <c r="G65" i="13"/>
  <c r="G67" i="13" s="1"/>
  <c r="F65" i="13"/>
  <c r="F67" i="13" s="1"/>
  <c r="E65" i="13"/>
  <c r="D65" i="13"/>
  <c r="D67" i="13" s="1"/>
  <c r="C65" i="13"/>
  <c r="C67" i="13" s="1"/>
  <c r="G63" i="13"/>
  <c r="C63" i="13"/>
  <c r="G61" i="13"/>
  <c r="F61" i="13"/>
  <c r="F63" i="13" s="1"/>
  <c r="E61" i="13"/>
  <c r="E63" i="13" s="1"/>
  <c r="D61" i="13"/>
  <c r="D63" i="13" s="1"/>
  <c r="C61" i="13"/>
  <c r="E60" i="13"/>
  <c r="G58" i="13"/>
  <c r="G60" i="13" s="1"/>
  <c r="F58" i="13"/>
  <c r="F60" i="13" s="1"/>
  <c r="E58" i="13"/>
  <c r="D58" i="13"/>
  <c r="D60" i="13" s="1"/>
  <c r="C58" i="13"/>
  <c r="C60" i="13" s="1"/>
  <c r="G57" i="13"/>
  <c r="C57" i="13"/>
  <c r="F57" i="13"/>
  <c r="E57" i="13"/>
  <c r="D57" i="13"/>
  <c r="E54" i="13"/>
  <c r="G52" i="13"/>
  <c r="G54" i="13" s="1"/>
  <c r="F54" i="13"/>
  <c r="E52" i="13"/>
  <c r="D52" i="13"/>
  <c r="D54" i="13" s="1"/>
  <c r="C52" i="13"/>
  <c r="C54" i="13" s="1"/>
  <c r="G50" i="13"/>
  <c r="C50" i="13"/>
  <c r="G48" i="13"/>
  <c r="F48" i="13"/>
  <c r="F50" i="13" s="1"/>
  <c r="E48" i="13"/>
  <c r="E50" i="13" s="1"/>
  <c r="D50" i="13"/>
  <c r="D47" i="13"/>
  <c r="G45" i="13"/>
  <c r="G47" i="13" s="1"/>
  <c r="F45" i="13"/>
  <c r="F47" i="13" s="1"/>
  <c r="E45" i="13"/>
  <c r="E47" i="13" s="1"/>
  <c r="D45" i="13"/>
  <c r="C45" i="13"/>
  <c r="C47" i="13" s="1"/>
  <c r="F44" i="13"/>
  <c r="G42" i="13"/>
  <c r="G44" i="13" s="1"/>
  <c r="F42" i="13"/>
  <c r="E42" i="13"/>
  <c r="E44" i="13" s="1"/>
  <c r="D42" i="13"/>
  <c r="D44" i="13" s="1"/>
  <c r="C42" i="13"/>
  <c r="C44" i="13" s="1"/>
  <c r="G41" i="13"/>
  <c r="F41" i="13"/>
  <c r="E41" i="13"/>
  <c r="D41" i="13"/>
  <c r="E39" i="13"/>
  <c r="D39" i="13"/>
  <c r="C41" i="13"/>
  <c r="D37" i="13"/>
  <c r="G35" i="13"/>
  <c r="G37" i="13" s="1"/>
  <c r="F35" i="13"/>
  <c r="F37" i="13" s="1"/>
  <c r="E35" i="13"/>
  <c r="E37" i="13" s="1"/>
  <c r="D35" i="13"/>
  <c r="C35" i="13"/>
  <c r="C37" i="13" s="1"/>
  <c r="F34" i="13"/>
  <c r="G32" i="13"/>
  <c r="G34" i="13" s="1"/>
  <c r="F32" i="13"/>
  <c r="E32" i="13"/>
  <c r="E34" i="13" s="1"/>
  <c r="D32" i="13"/>
  <c r="D34" i="13" s="1"/>
  <c r="G31" i="13"/>
  <c r="F31" i="13"/>
  <c r="E31" i="13"/>
  <c r="D31" i="13"/>
  <c r="C31" i="13"/>
  <c r="G28" i="13"/>
  <c r="F28" i="13"/>
  <c r="G25" i="13"/>
  <c r="C25" i="13"/>
  <c r="F22" i="13"/>
  <c r="E22" i="13"/>
  <c r="D22" i="13"/>
  <c r="E18" i="13"/>
  <c r="G18" i="13"/>
  <c r="F18" i="13"/>
  <c r="E16" i="13"/>
  <c r="D16" i="13"/>
  <c r="D18" i="13" s="1"/>
  <c r="C18" i="13"/>
  <c r="G15" i="13"/>
  <c r="F15" i="13"/>
  <c r="E15" i="13"/>
  <c r="D15" i="13"/>
  <c r="C15" i="13"/>
  <c r="D12" i="13"/>
  <c r="G10" i="13"/>
  <c r="G12" i="13" s="1"/>
  <c r="F12" i="13"/>
  <c r="E10" i="13"/>
  <c r="E12" i="13" s="1"/>
  <c r="D10" i="13"/>
  <c r="F9" i="13"/>
  <c r="G9" i="13"/>
  <c r="E7" i="13"/>
  <c r="E9" i="13" s="1"/>
  <c r="D7" i="13"/>
  <c r="D9" i="13" s="1"/>
  <c r="D6" i="13"/>
  <c r="G6" i="13"/>
  <c r="F6" i="13"/>
  <c r="E4" i="13"/>
  <c r="E6" i="13" s="1"/>
  <c r="C6" i="13"/>
  <c r="E78" i="13" l="1"/>
  <c r="F78" i="13"/>
  <c r="C78" i="13"/>
  <c r="G78" i="13"/>
  <c r="D78" i="13"/>
  <c r="G15" i="12"/>
  <c r="G16" i="12" s="1"/>
  <c r="G19" i="12" s="1"/>
  <c r="F15" i="12"/>
  <c r="F16" i="12" s="1"/>
  <c r="F19" i="12" s="1"/>
  <c r="E15" i="12"/>
  <c r="E16" i="12" s="1"/>
  <c r="E19" i="12" s="1"/>
  <c r="D15" i="12"/>
  <c r="D16" i="12" s="1"/>
  <c r="D19" i="12" s="1"/>
  <c r="C15" i="12"/>
  <c r="C16" i="12" s="1"/>
  <c r="C19" i="12" l="1"/>
  <c r="C18" i="12"/>
  <c r="D16" i="11"/>
  <c r="D19" i="11" s="1"/>
  <c r="G15" i="11"/>
  <c r="G16" i="11" s="1"/>
  <c r="G19" i="11" s="1"/>
  <c r="F15" i="11"/>
  <c r="F16" i="11" s="1"/>
  <c r="F19" i="11" s="1"/>
  <c r="E15" i="11"/>
  <c r="E16" i="11" s="1"/>
  <c r="E19" i="11" s="1"/>
  <c r="D15" i="11"/>
  <c r="C15" i="11"/>
  <c r="C16" i="11" s="1"/>
  <c r="C19" i="11" l="1"/>
  <c r="C18" i="11"/>
  <c r="F16" i="10"/>
  <c r="F19" i="10" s="1"/>
  <c r="G15" i="10"/>
  <c r="G16" i="10" s="1"/>
  <c r="G19" i="10" s="1"/>
  <c r="F15" i="10"/>
  <c r="E15" i="10"/>
  <c r="E16" i="10" s="1"/>
  <c r="E19" i="10" s="1"/>
  <c r="D15" i="10"/>
  <c r="D16" i="10" s="1"/>
  <c r="D19" i="10" s="1"/>
  <c r="C15" i="10"/>
  <c r="C16" i="10" s="1"/>
  <c r="C19" i="10" l="1"/>
  <c r="C18" i="10"/>
  <c r="G16" i="9"/>
  <c r="G19" i="9" s="1"/>
  <c r="C16" i="9"/>
  <c r="C19" i="9" s="1"/>
  <c r="G15" i="9"/>
  <c r="F15" i="9"/>
  <c r="F16" i="9" s="1"/>
  <c r="F19" i="9" s="1"/>
  <c r="E15" i="9"/>
  <c r="E16" i="9" s="1"/>
  <c r="E19" i="9" s="1"/>
  <c r="D15" i="9"/>
  <c r="D16" i="9" s="1"/>
  <c r="D19" i="9" s="1"/>
  <c r="C15" i="9"/>
  <c r="C18" i="9" l="1"/>
  <c r="F26" i="8"/>
  <c r="E35" i="8"/>
  <c r="D10" i="8"/>
  <c r="E10" i="8"/>
  <c r="D7" i="8"/>
  <c r="E7" i="8"/>
  <c r="E4" i="8"/>
  <c r="E31" i="8" l="1"/>
  <c r="F48" i="8"/>
  <c r="G48" i="8"/>
  <c r="D16" i="8" l="1"/>
  <c r="C55" i="8" l="1"/>
  <c r="G52" i="8"/>
  <c r="C39" i="8"/>
  <c r="C16" i="8"/>
  <c r="E16" i="8"/>
  <c r="F16" i="8"/>
  <c r="G16" i="8"/>
  <c r="G10" i="8" l="1"/>
  <c r="F10" i="8"/>
  <c r="C10" i="8"/>
  <c r="C7" i="8"/>
  <c r="G7" i="8"/>
  <c r="F7" i="8"/>
  <c r="G26" i="8" l="1"/>
  <c r="C28" i="8"/>
  <c r="C26" i="8"/>
  <c r="G23" i="8"/>
  <c r="C23" i="8"/>
  <c r="C25" i="8"/>
  <c r="E22" i="8"/>
  <c r="C22" i="8"/>
  <c r="F4" i="8"/>
  <c r="C4" i="8"/>
  <c r="D4" i="8"/>
  <c r="D6" i="8" s="1"/>
  <c r="G75" i="8"/>
  <c r="G77" i="8" s="1"/>
  <c r="F75" i="8"/>
  <c r="F77" i="8" s="1"/>
  <c r="E75" i="8"/>
  <c r="E77" i="8" s="1"/>
  <c r="D75" i="8"/>
  <c r="D77" i="8" s="1"/>
  <c r="C75" i="8"/>
  <c r="C77" i="8" s="1"/>
  <c r="G72" i="8"/>
  <c r="G74" i="8" s="1"/>
  <c r="F72" i="8"/>
  <c r="F74" i="8" s="1"/>
  <c r="E72" i="8"/>
  <c r="E74" i="8" s="1"/>
  <c r="D72" i="8"/>
  <c r="D74" i="8" s="1"/>
  <c r="C72" i="8"/>
  <c r="C74" i="8" s="1"/>
  <c r="G68" i="8"/>
  <c r="G70" i="8" s="1"/>
  <c r="F68" i="8"/>
  <c r="F70" i="8" s="1"/>
  <c r="E68" i="8"/>
  <c r="E70" i="8" s="1"/>
  <c r="D68" i="8"/>
  <c r="D70" i="8" s="1"/>
  <c r="C68" i="8"/>
  <c r="C70" i="8" s="1"/>
  <c r="G65" i="8"/>
  <c r="G67" i="8" s="1"/>
  <c r="F65" i="8"/>
  <c r="F67" i="8" s="1"/>
  <c r="E65" i="8"/>
  <c r="E67" i="8" s="1"/>
  <c r="D65" i="8"/>
  <c r="D67" i="8" s="1"/>
  <c r="C65" i="8"/>
  <c r="C67" i="8" s="1"/>
  <c r="G61" i="8"/>
  <c r="G63" i="8" s="1"/>
  <c r="F61" i="8"/>
  <c r="F63" i="8" s="1"/>
  <c r="E61" i="8"/>
  <c r="E63" i="8" s="1"/>
  <c r="D61" i="8"/>
  <c r="D63" i="8" s="1"/>
  <c r="C61" i="8"/>
  <c r="C63" i="8" s="1"/>
  <c r="G58" i="8"/>
  <c r="G60" i="8" s="1"/>
  <c r="F58" i="8"/>
  <c r="F60" i="8" s="1"/>
  <c r="E58" i="8"/>
  <c r="E60" i="8" s="1"/>
  <c r="D58" i="8"/>
  <c r="D60" i="8" s="1"/>
  <c r="C58" i="8"/>
  <c r="C60" i="8" s="1"/>
  <c r="G55" i="8"/>
  <c r="G57" i="8" s="1"/>
  <c r="F55" i="8"/>
  <c r="F57" i="8" s="1"/>
  <c r="E55" i="8"/>
  <c r="E57" i="8" s="1"/>
  <c r="D55" i="8"/>
  <c r="D57" i="8" s="1"/>
  <c r="C57" i="8"/>
  <c r="G54" i="8"/>
  <c r="F52" i="8"/>
  <c r="F54" i="8" s="1"/>
  <c r="E52" i="8"/>
  <c r="E54" i="8" s="1"/>
  <c r="D52" i="8"/>
  <c r="D54" i="8" s="1"/>
  <c r="C52" i="8"/>
  <c r="C54" i="8" s="1"/>
  <c r="G50" i="8"/>
  <c r="F50" i="8"/>
  <c r="E48" i="8"/>
  <c r="E50" i="8" s="1"/>
  <c r="D48" i="8"/>
  <c r="D50" i="8" s="1"/>
  <c r="C50" i="8"/>
  <c r="G45" i="8"/>
  <c r="G47" i="8" s="1"/>
  <c r="F45" i="8"/>
  <c r="F47" i="8" s="1"/>
  <c r="E45" i="8"/>
  <c r="E47" i="8" s="1"/>
  <c r="D45" i="8"/>
  <c r="D47" i="8" s="1"/>
  <c r="C45" i="8"/>
  <c r="C47" i="8" s="1"/>
  <c r="G42" i="8"/>
  <c r="G44" i="8" s="1"/>
  <c r="F42" i="8"/>
  <c r="F44" i="8" s="1"/>
  <c r="E42" i="8"/>
  <c r="E44" i="8" s="1"/>
  <c r="D42" i="8"/>
  <c r="D44" i="8" s="1"/>
  <c r="C42" i="8"/>
  <c r="C44" i="8" s="1"/>
  <c r="C41" i="8"/>
  <c r="G41" i="8"/>
  <c r="F41" i="8"/>
  <c r="E39" i="8"/>
  <c r="E41" i="8" s="1"/>
  <c r="D39" i="8"/>
  <c r="D41" i="8" s="1"/>
  <c r="G37" i="8"/>
  <c r="E37" i="8"/>
  <c r="C37" i="8"/>
  <c r="G35" i="8"/>
  <c r="F35" i="8"/>
  <c r="F37" i="8" s="1"/>
  <c r="D35" i="8"/>
  <c r="D37" i="8" s="1"/>
  <c r="C35" i="8"/>
  <c r="G34" i="8"/>
  <c r="E34" i="8"/>
  <c r="C34" i="8"/>
  <c r="G32" i="8"/>
  <c r="F32" i="8"/>
  <c r="F34" i="8" s="1"/>
  <c r="E32" i="8"/>
  <c r="D32" i="8"/>
  <c r="D34" i="8" s="1"/>
  <c r="C32" i="8"/>
  <c r="G31" i="8"/>
  <c r="F31" i="8"/>
  <c r="D31" i="8"/>
  <c r="C31" i="8"/>
  <c r="F28" i="8"/>
  <c r="E28" i="8"/>
  <c r="D28" i="8"/>
  <c r="G28" i="8"/>
  <c r="F25" i="8"/>
  <c r="E25" i="8"/>
  <c r="D25" i="8"/>
  <c r="G25" i="8"/>
  <c r="G22" i="8"/>
  <c r="F22" i="8"/>
  <c r="D22" i="8"/>
  <c r="G18" i="8"/>
  <c r="E18" i="8"/>
  <c r="C18" i="8"/>
  <c r="F18" i="8"/>
  <c r="D18" i="8"/>
  <c r="G15" i="8"/>
  <c r="E15" i="8"/>
  <c r="C15" i="8"/>
  <c r="F15" i="8"/>
  <c r="D15" i="8"/>
  <c r="G12" i="8"/>
  <c r="E12" i="8"/>
  <c r="C12" i="8"/>
  <c r="F12" i="8"/>
  <c r="D12" i="8"/>
  <c r="G9" i="8"/>
  <c r="E9" i="8"/>
  <c r="C9" i="8"/>
  <c r="F9" i="8"/>
  <c r="D9" i="8"/>
  <c r="G6" i="8"/>
  <c r="E6" i="8"/>
  <c r="C6" i="8"/>
  <c r="G4" i="8"/>
  <c r="F6" i="8"/>
  <c r="G78" i="8" l="1"/>
  <c r="F78" i="8"/>
  <c r="C78" i="8"/>
  <c r="D78" i="8"/>
  <c r="E78" i="8"/>
  <c r="G15" i="7"/>
  <c r="G16" i="7" s="1"/>
  <c r="G19" i="7" s="1"/>
  <c r="F15" i="7"/>
  <c r="F16" i="7" s="1"/>
  <c r="F19" i="7" s="1"/>
  <c r="E15" i="7"/>
  <c r="E16" i="7" s="1"/>
  <c r="E19" i="7" s="1"/>
  <c r="D15" i="7"/>
  <c r="D16" i="7" s="1"/>
  <c r="D19" i="7" s="1"/>
  <c r="C15" i="7"/>
  <c r="C16" i="7" s="1"/>
  <c r="C19" i="7" l="1"/>
  <c r="C18" i="7"/>
  <c r="F16" i="6"/>
  <c r="F19" i="6" s="1"/>
  <c r="D16" i="6"/>
  <c r="D19" i="6" s="1"/>
  <c r="G15" i="6"/>
  <c r="G16" i="6" s="1"/>
  <c r="G19" i="6" s="1"/>
  <c r="F15" i="6"/>
  <c r="E15" i="6"/>
  <c r="E16" i="6" s="1"/>
  <c r="E19" i="6" s="1"/>
  <c r="D15" i="6"/>
  <c r="C15" i="6"/>
  <c r="C16" i="6" s="1"/>
  <c r="C19" i="6" l="1"/>
  <c r="C18" i="6"/>
  <c r="C18" i="5"/>
  <c r="F16" i="5"/>
  <c r="F19" i="5" s="1"/>
  <c r="D16" i="5"/>
  <c r="D19" i="5" s="1"/>
  <c r="G15" i="5"/>
  <c r="G16" i="5" s="1"/>
  <c r="G19" i="5" s="1"/>
  <c r="F15" i="5"/>
  <c r="E15" i="5"/>
  <c r="E16" i="5" s="1"/>
  <c r="E19" i="5" s="1"/>
  <c r="D15" i="5"/>
  <c r="C15" i="5"/>
  <c r="C16" i="5" s="1"/>
  <c r="C19" i="5" l="1"/>
  <c r="D75" i="1"/>
  <c r="E75" i="1"/>
  <c r="G23" i="1" l="1"/>
  <c r="G25" i="1" s="1"/>
  <c r="G26" i="1"/>
  <c r="F26" i="1"/>
  <c r="G10" i="1"/>
  <c r="G16" i="1"/>
  <c r="E16" i="1"/>
  <c r="C16" i="1"/>
  <c r="D16" i="1"/>
  <c r="F16" i="1"/>
  <c r="G28" i="1" l="1"/>
  <c r="G22" i="1"/>
  <c r="F18" i="1"/>
  <c r="D18" i="1"/>
  <c r="E18" i="1"/>
  <c r="C18" i="1"/>
  <c r="G18" i="1"/>
  <c r="G13" i="1"/>
  <c r="G15" i="1" s="1"/>
  <c r="F13" i="1"/>
  <c r="F15" i="1" s="1"/>
  <c r="G12" i="1"/>
  <c r="G7" i="1"/>
  <c r="G9" i="1" s="1"/>
  <c r="G4" i="1"/>
  <c r="G6" i="1" s="1"/>
  <c r="G75" i="1"/>
  <c r="G77" i="1" s="1"/>
  <c r="F75" i="1"/>
  <c r="F77" i="1" s="1"/>
  <c r="F72" i="1"/>
  <c r="F74" i="1" s="1"/>
  <c r="G72" i="1"/>
  <c r="G74" i="1" s="1"/>
  <c r="F68" i="1"/>
  <c r="F70" i="1" s="1"/>
  <c r="G68" i="1"/>
  <c r="G70" i="1" s="1"/>
  <c r="F65" i="1"/>
  <c r="F67" i="1" s="1"/>
  <c r="G65" i="1"/>
  <c r="G67" i="1" s="1"/>
  <c r="F61" i="1"/>
  <c r="F63" i="1" s="1"/>
  <c r="G61" i="1"/>
  <c r="G63" i="1" s="1"/>
  <c r="F58" i="1"/>
  <c r="F60" i="1" s="1"/>
  <c r="G58" i="1"/>
  <c r="G60" i="1" s="1"/>
  <c r="F55" i="1"/>
  <c r="F57" i="1" s="1"/>
  <c r="G55" i="1"/>
  <c r="G57" i="1" s="1"/>
  <c r="G52" i="1"/>
  <c r="G54" i="1" s="1"/>
  <c r="F52" i="1"/>
  <c r="F54" i="1" s="1"/>
  <c r="F48" i="1"/>
  <c r="F50" i="1" s="1"/>
  <c r="G48" i="1"/>
  <c r="G50" i="1" s="1"/>
  <c r="F45" i="1"/>
  <c r="F47" i="1" s="1"/>
  <c r="G45" i="1"/>
  <c r="G47" i="1" s="1"/>
  <c r="F42" i="1"/>
  <c r="F44" i="1" s="1"/>
  <c r="G42" i="1"/>
  <c r="G44" i="1" s="1"/>
  <c r="F39" i="1"/>
  <c r="F41" i="1" s="1"/>
  <c r="G39" i="1"/>
  <c r="G41" i="1" s="1"/>
  <c r="F35" i="1"/>
  <c r="F37" i="1" s="1"/>
  <c r="G35" i="1"/>
  <c r="G37" i="1" s="1"/>
  <c r="F32" i="1"/>
  <c r="F34" i="1" s="1"/>
  <c r="G32" i="1"/>
  <c r="G34" i="1" s="1"/>
  <c r="F28" i="1"/>
  <c r="F22" i="1"/>
  <c r="D10" i="1"/>
  <c r="E10" i="1"/>
  <c r="F10" i="1"/>
  <c r="F12" i="1" s="1"/>
  <c r="F7" i="1"/>
  <c r="F9" i="1" s="1"/>
  <c r="E7" i="1"/>
  <c r="D7" i="1"/>
  <c r="F4" i="1"/>
  <c r="E4" i="1"/>
  <c r="F6" i="1"/>
  <c r="E6" i="1"/>
  <c r="E77" i="1"/>
  <c r="D77" i="1"/>
  <c r="D72" i="1"/>
  <c r="D74" i="1" s="1"/>
  <c r="E72" i="1"/>
  <c r="E74" i="1" s="1"/>
  <c r="D68" i="1"/>
  <c r="D70" i="1" s="1"/>
  <c r="E68" i="1"/>
  <c r="E70" i="1" s="1"/>
  <c r="D65" i="1"/>
  <c r="D67" i="1" s="1"/>
  <c r="E65" i="1"/>
  <c r="E67" i="1" s="1"/>
  <c r="D61" i="1"/>
  <c r="D63" i="1" s="1"/>
  <c r="E61" i="1"/>
  <c r="E63" i="1" s="1"/>
  <c r="D58" i="1"/>
  <c r="D60" i="1" s="1"/>
  <c r="E58" i="1"/>
  <c r="E60" i="1" s="1"/>
  <c r="D55" i="1"/>
  <c r="D57" i="1" s="1"/>
  <c r="E55" i="1"/>
  <c r="E57" i="1" s="1"/>
  <c r="D52" i="1"/>
  <c r="D54" i="1" s="1"/>
  <c r="E52" i="1"/>
  <c r="E54" i="1" s="1"/>
  <c r="D48" i="1"/>
  <c r="D50" i="1" s="1"/>
  <c r="E48" i="1"/>
  <c r="E50" i="1" s="1"/>
  <c r="D45" i="1"/>
  <c r="D47" i="1" s="1"/>
  <c r="E45" i="1"/>
  <c r="E47" i="1" s="1"/>
  <c r="D42" i="1"/>
  <c r="D44" i="1" s="1"/>
  <c r="E42" i="1"/>
  <c r="E44" i="1" s="1"/>
  <c r="D39" i="1"/>
  <c r="D41" i="1" s="1"/>
  <c r="E39" i="1"/>
  <c r="E41" i="1" s="1"/>
  <c r="D35" i="1"/>
  <c r="E35" i="1"/>
  <c r="E37" i="1" s="1"/>
  <c r="D37" i="1"/>
  <c r="D32" i="1"/>
  <c r="D34" i="1" s="1"/>
  <c r="E32" i="1"/>
  <c r="E34" i="1" s="1"/>
  <c r="E31" i="1" l="1"/>
  <c r="F31" i="1"/>
  <c r="G31" i="1"/>
  <c r="D31" i="1"/>
  <c r="E28" i="1"/>
  <c r="D28" i="1"/>
  <c r="F25" i="1"/>
  <c r="D25" i="1"/>
  <c r="E25" i="1"/>
  <c r="E22" i="1"/>
  <c r="D22" i="1"/>
  <c r="E15" i="1"/>
  <c r="E13" i="1"/>
  <c r="D13" i="1"/>
  <c r="D15" i="1" s="1"/>
  <c r="C13" i="1"/>
  <c r="C15" i="1" s="1"/>
  <c r="E12" i="1"/>
  <c r="D12" i="1"/>
  <c r="E9" i="1"/>
  <c r="D9" i="1"/>
  <c r="D6" i="1"/>
  <c r="D4" i="1"/>
  <c r="C77" i="1"/>
  <c r="C75" i="1"/>
  <c r="C74" i="1"/>
  <c r="C72" i="1"/>
  <c r="C68" i="1"/>
  <c r="C70" i="1" s="1"/>
  <c r="C65" i="1"/>
  <c r="C67" i="1" s="1"/>
  <c r="C61" i="1"/>
  <c r="C63" i="1" s="1"/>
  <c r="C58" i="1"/>
  <c r="C60" i="1" s="1"/>
  <c r="C55" i="1"/>
  <c r="C57" i="1" s="1"/>
  <c r="C52" i="1"/>
  <c r="C54" i="1" s="1"/>
  <c r="C48" i="1"/>
  <c r="C50" i="1" s="1"/>
  <c r="C45" i="1"/>
  <c r="C47" i="1" s="1"/>
  <c r="C42" i="1"/>
  <c r="C44" i="1" s="1"/>
  <c r="C39" i="1"/>
  <c r="C41" i="1" s="1"/>
  <c r="C35" i="1"/>
  <c r="C37" i="1" s="1"/>
  <c r="C32" i="1"/>
  <c r="C34" i="1" s="1"/>
  <c r="C31" i="1"/>
  <c r="C28" i="1"/>
  <c r="C25" i="1"/>
  <c r="C22" i="1"/>
  <c r="C26" i="1"/>
  <c r="C10" i="1"/>
  <c r="C12" i="1" s="1"/>
  <c r="C7" i="1"/>
  <c r="C9" i="1" s="1"/>
  <c r="C4" i="1"/>
  <c r="C6" i="1" s="1"/>
  <c r="G15" i="4" l="1"/>
  <c r="G16" i="4" s="1"/>
  <c r="G19" i="4" s="1"/>
  <c r="F15" i="4"/>
  <c r="F16" i="4" s="1"/>
  <c r="F19" i="4" s="1"/>
  <c r="E15" i="4"/>
  <c r="E16" i="4" s="1"/>
  <c r="E19" i="4" s="1"/>
  <c r="D15" i="4"/>
  <c r="D16" i="4" s="1"/>
  <c r="D19" i="4" s="1"/>
  <c r="C15" i="4"/>
  <c r="C16" i="4" s="1"/>
  <c r="C19" i="4" l="1"/>
  <c r="C18" i="4"/>
  <c r="D78" i="1" l="1"/>
  <c r="E78" i="1"/>
  <c r="F78" i="1"/>
  <c r="G78" i="1"/>
  <c r="C78" i="1"/>
</calcChain>
</file>

<file path=xl/sharedStrings.xml><?xml version="1.0" encoding="utf-8"?>
<sst xmlns="http://schemas.openxmlformats.org/spreadsheetml/2006/main" count="2366" uniqueCount="377">
  <si>
    <t>показатели</t>
  </si>
  <si>
    <t xml:space="preserve">Администрация мо "Малопургинский район" </t>
  </si>
  <si>
    <t>Райсовет</t>
  </si>
  <si>
    <t>Управление финансов</t>
  </si>
  <si>
    <t>Управление культуры</t>
  </si>
  <si>
    <t>Управление образования</t>
  </si>
  <si>
    <t>Расчет показателя</t>
  </si>
  <si>
    <t xml:space="preserve">ПОКАЗАТЕЛИ
ГОДОВОГО МОНИТОРИНГА КАЧЕСТВА ФИНАНСОВОГО МЕНЕДЖМЕНТА, ОСУЩЕСТВЛЯЕМОГО ГЛАВНЫМИ РАСПОРЯДИТЕЛЯМИ
СРЕДСТВ БЮДЖЕТА МУНИЦИПАЛЬНОГО ОБРАЗОВАНИЯ «МАЛОПУРГИНСКИЙ РАЙОН» за 2015 г.
</t>
  </si>
  <si>
    <t>Расчет показателя, дата представления отчета</t>
  </si>
  <si>
    <t>Расчет показателя, к.р.-кассов. Расход, кв-квартал</t>
  </si>
  <si>
    <t>160581,4-98048=62533,4(к.р.IVкв.)98048/3=32682,7-к.р.в сред.за I-IIIкв</t>
  </si>
  <si>
    <t>8344,2-5509,2=2835(к.р.IVкв.) 5509,2/3=1834,4-к.р.в сред.за I-IIIкв.</t>
  </si>
  <si>
    <t>12019,9-8718,7=3301,2(к.р.IVкв.) 8718,7/3=2906,2-к.р.в сред.за I-IIIкв.</t>
  </si>
  <si>
    <t>83995,8-57242,7=26753,1(к.р.IVкв.) 57242,7/3=19080,9-к.р.в сред.за I-IIIкв.</t>
  </si>
  <si>
    <t>83591,8-59120,1=24471,7(к.р.IVкв.) 59120,1/3=19706,7-к.р.в сред.за I-IIIкв.</t>
  </si>
  <si>
    <t>не рассчитывается (нет подвед-х казенных учрежд)</t>
  </si>
  <si>
    <t>не рассчитывается (нет подвед-х бюдж. учрежд)</t>
  </si>
  <si>
    <t>100*(1723,8/1723,8)=100</t>
  </si>
  <si>
    <t>100*(82300,8/82300,8)=100</t>
  </si>
  <si>
    <t>100*(360357,8/425075,2)=84,7</t>
  </si>
  <si>
    <t>100*(64717,4/425075,2)=15,3</t>
  </si>
  <si>
    <t>колич-во изменений составл. более 10</t>
  </si>
  <si>
    <t>,</t>
  </si>
  <si>
    <r>
      <t xml:space="preserve">Расчет показателя, </t>
    </r>
    <r>
      <rPr>
        <i/>
        <sz val="12"/>
        <color theme="5" tint="-0.499984740745262"/>
        <rFont val="Times New Roman"/>
        <family val="1"/>
        <charset val="204"/>
      </rPr>
      <t>формы 0503160_т5, аs06МО квартал</t>
    </r>
  </si>
  <si>
    <t>Расчет показателя, формы 0503160_т6</t>
  </si>
  <si>
    <t>Расчет показателя, 0503160_т6</t>
  </si>
  <si>
    <t>удельный вес в оценке</t>
  </si>
  <si>
    <r>
      <t>1. Качество планирования расходов, оценка  (</t>
    </r>
    <r>
      <rPr>
        <sz val="11"/>
        <color rgb="FFFF0000"/>
        <rFont val="Times New Roman"/>
        <family val="1"/>
        <charset val="204"/>
      </rPr>
      <t>Р</t>
    </r>
    <r>
      <rPr>
        <sz val="11"/>
        <color theme="1"/>
        <rFont val="Times New Roman"/>
        <family val="1"/>
        <charset val="204"/>
      </rPr>
      <t>)</t>
    </r>
  </si>
  <si>
    <r>
      <t>4. Своевременность  представления ежемесячной и квартальной бюджетной отчетности в Управление финансов Администрации МО «Малопургинский район»,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</si>
  <si>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 Динамика управления просроченной дебиторской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</si>
  <si>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 Динамика управления просроченной кредиторской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</si>
  <si>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1.1. Доля бюджетных ассигнований, предусмотренных в рамках муниципальных программ,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</si>
  <si>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1.2. Доля бюджетных ассигнований  на предоставление муниципальных услуг (выполнение работ) физическим и юридическим лицам, оказываемых в соответствии с муниципальным заданием,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</si>
  <si>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1.3. Доля бюджетных ассигнований  на предоставление муниципальных услуг (выполнение работ) физическим и юридическим лицам, определяемых на основании расчетно-нормативных затрат,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).</t>
    </r>
  </si>
  <si>
    <r>
      <t>1.4. Своевременность предоставления реестра расходных обязательств главных распорядителей,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)  </t>
    </r>
    <r>
      <rPr>
        <sz val="12"/>
        <color rgb="FFFF0000"/>
        <rFont val="Times New Roman"/>
        <family val="1"/>
        <charset val="204"/>
      </rPr>
      <t>срок 02.02.16г</t>
    </r>
  </si>
  <si>
    <r>
      <t>1.5. Качество подготовки обоснований бюджетных ассигнований,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</si>
  <si>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2.1. Равномерность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</si>
  <si>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2.2.&lt;*&gt;Своевременность распределения  лимитов бюджетных обязательств между казенными учреждениями подведомственной сети,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</si>
  <si>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2.3. &lt;*&gt;Своевременность распределение субсидий на выполнение муниципального задания между подведомственными учреждениями,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</si>
  <si>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2.4. Качество планирования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) </t>
    </r>
  </si>
  <si>
    <r>
      <t>2.5. Динамика управления просроченной кредиторской задолженностью по расчетам с поставщиками и подрядчиками,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</si>
  <si>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2.6. Динамика управления просроченной дебиторской задолженностью по расчетам с поставщиками и подрядчиками,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</si>
  <si>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3.1. Соблюдение сроков предоставления годовой бюджетной отчетности в Управление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</si>
  <si>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3.2. Качество отчетности, предоставляемой в Управление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</si>
  <si>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3.3.  Представление в составе годовой бюджетной «Сведений о мерах по повышению эффективности расходования бюджетных средств»,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</si>
  <si>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3.4. Своевременность и качество предоставления «Отчета о выполнении плана по сети, штатам и контингентам получателей бюджетных средств, состоящих на бюджете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</si>
  <si>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4.1. Осуществление мероприятий внутреннего контроля,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</si>
  <si>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4.2. Доля подведомственных учреждений, в отношении которых проведены контрольные мероприятия,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</si>
  <si>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4.3. Проведение инвентаризации,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</si>
  <si>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4.4. Доля недостач и хищений денежных средств и материальных ценностей,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</si>
  <si>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5.1. Сумма, подлежащая взысканию по исполнительным документам,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</si>
  <si>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5.2. Исполнение судебных решений по денежным обязательствам главного распорядителя,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</si>
  <si>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6.1. Наличие системы электронного документооборота главного распорядителя с Управлением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</si>
  <si>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6.2. Наличие системы электронного документооборота между Управлением финансов Администрации муниципального образования «Малопургинский район» и подведомственными главному распорядителю учреждениями,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</si>
  <si>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средний уровень качества финансового менеджмента</t>
  </si>
  <si>
    <t>место в рейтинге</t>
  </si>
  <si>
    <t>1-4</t>
  </si>
  <si>
    <t>отклонения итоговой оценки качества финансового менеджмента главного распорядителя от максимально возможного уровня качества</t>
  </si>
  <si>
    <t>уровень качества финансового менеджмента</t>
  </si>
  <si>
    <t>отчетность предоставлена своевременно</t>
  </si>
  <si>
    <t>Уровень качества  удовлетворительный</t>
  </si>
  <si>
    <t>Характеристика качества финансового менеджмента главного распорядителя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</si>
  <si>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ПЕРВЫЙ КВАРТАЛ 2016 ГОДА
</t>
  </si>
  <si>
    <t>просроченная  кредиторская задолженность отсутствует</t>
  </si>
  <si>
    <t>просроченная дебиторская  задолженность отсутствует</t>
  </si>
  <si>
    <t>100*145581,2/183508,9=79,3</t>
  </si>
  <si>
    <t>100*2358/183508,9=1,3</t>
  </si>
  <si>
    <t>Р=0</t>
  </si>
  <si>
    <t>просроченная кредиторская задолж-ть отсутств.=1</t>
  </si>
  <si>
    <t>просроченная дебиторская задолж-ть отсутств. =1</t>
  </si>
  <si>
    <t>годовая бюджетная отчетность представлена в установленные сроки =1</t>
  </si>
  <si>
    <t>Качество отчетности соответствует требованиям =1</t>
  </si>
  <si>
    <t>Сведения о мерах по повышению эффективности расходования бюджетных средств отсутствуют =0</t>
  </si>
  <si>
    <t>Отчет предоставлен своевременно  =1</t>
  </si>
  <si>
    <t>подведомственные учреждения не проверялись =0</t>
  </si>
  <si>
    <t>инвентаризация проведена =1</t>
  </si>
  <si>
    <t>не выявлено =1</t>
  </si>
  <si>
    <t>исковые требования взысканы в полном объеме=1</t>
  </si>
  <si>
    <t>система электронного документооборота имеется =1</t>
  </si>
  <si>
    <t>исковые требования на нач. года=0, исковые требования на конец года =0</t>
  </si>
  <si>
    <t>100*62,4/12050,3=0,52</t>
  </si>
  <si>
    <t>муниципальные задания не формируются, =0%</t>
  </si>
  <si>
    <t>подвед-х учреждений нет,=0</t>
  </si>
  <si>
    <t xml:space="preserve"> Р=0</t>
  </si>
  <si>
    <t>просроченная кредиторская задолж-ть отсутств. =1</t>
  </si>
  <si>
    <t>выявлено 4 нарушения по итогам внутреннего финансового контроля =1</t>
  </si>
  <si>
    <t xml:space="preserve"> выявлено 2 нарушения по итогам внутреннего финансового контроля =1</t>
  </si>
  <si>
    <t xml:space="preserve">  выявлено 2 нарушения по итогам  внутреннего финансового контроля =1</t>
  </si>
  <si>
    <t>подведомственных учреждений нет = 0</t>
  </si>
  <si>
    <t>подведомственных учреждений нет =0</t>
  </si>
  <si>
    <t>исковые требования не поступали=1</t>
  </si>
  <si>
    <t>100*7844,4/8344,4=94,0</t>
  </si>
  <si>
    <t>100*85878,6/87157,0=98,5</t>
  </si>
  <si>
    <t>100*73895,2/87157=84,8</t>
  </si>
  <si>
    <t>100*(76723,8/81485,8)=94,2</t>
  </si>
  <si>
    <t>03.02.2016   Р=0,5</t>
  </si>
  <si>
    <t>13,01.16   Р=1</t>
  </si>
  <si>
    <t>168572,2/172165,1=97,9</t>
  </si>
  <si>
    <t>100*(24471,7-19706,7)/19706,7=24,2     Р=1*20=20</t>
  </si>
  <si>
    <t>внутренний контроль не проводился = 0</t>
  </si>
  <si>
    <t>исковые требования исполнены в полном объеме=1</t>
  </si>
  <si>
    <t>система электронного документооборота имеется = 1</t>
  </si>
  <si>
    <t>100*588752,7/589361,9=99,9</t>
  </si>
  <si>
    <t>100*439293,8/589361,9=74,6</t>
  </si>
  <si>
    <t>25.01.2016  Р=1</t>
  </si>
  <si>
    <t>не представлялся   Р=0</t>
  </si>
  <si>
    <t>17308,0/19437,0=89,0</t>
  </si>
  <si>
    <t>52611,7/53560=98,3</t>
  </si>
  <si>
    <t>6936/7249=95,7</t>
  </si>
  <si>
    <t>100*(26753,1-19080,9)/19080,9=40,2  Р=1*20</t>
  </si>
  <si>
    <t>100*(3301,2-2906,2)/2906,2=13,6    Р=1*20</t>
  </si>
  <si>
    <t>100*(2835-1834,4)/1834,4=54,6, Р=0,5*20=10</t>
  </si>
  <si>
    <t>100*(62533,4-32682,7)/32682,7=91,4   Р=0,5*20=10</t>
  </si>
  <si>
    <t>462494,3/462532=100</t>
  </si>
  <si>
    <t>100*(428855,8/432116,8)=99,2</t>
  </si>
  <si>
    <t>качество финансового менеджмента главного распорядителя удовлетворительный</t>
  </si>
  <si>
    <t>Заместитель главы Администрации по финансовым вопросам</t>
  </si>
  <si>
    <t>начальник Управления финансов</t>
  </si>
  <si>
    <t>Р.Р. Минагулова</t>
  </si>
  <si>
    <t>оценка по показателю</t>
  </si>
  <si>
    <r>
      <t xml:space="preserve">1. Среднесрочное финансовое планирование. Удельный вес направления -  </t>
    </r>
    <r>
      <rPr>
        <b/>
        <sz val="12"/>
        <color rgb="FFFF0000"/>
        <rFont val="Times New Roman"/>
        <family val="1"/>
        <charset val="204"/>
      </rPr>
      <t>25</t>
    </r>
  </si>
  <si>
    <r>
      <t xml:space="preserve">2. Исполнение бюджета муниципального образования «Малопургинский район». Удельный вес направления - </t>
    </r>
    <r>
      <rPr>
        <b/>
        <sz val="12"/>
        <color rgb="FFFF0000"/>
        <rFont val="Times New Roman"/>
        <family val="1"/>
        <charset val="204"/>
      </rPr>
      <t>25</t>
    </r>
  </si>
  <si>
    <r>
      <t xml:space="preserve">3. Учет и отчетность. Удельный вес направления - </t>
    </r>
    <r>
      <rPr>
        <b/>
        <sz val="12"/>
        <color rgb="FFFF0000"/>
        <rFont val="Times New Roman"/>
        <family val="1"/>
        <charset val="204"/>
      </rPr>
      <t>16</t>
    </r>
  </si>
  <si>
    <r>
      <t>4. Финансовый контроль. Удельный вес направления -</t>
    </r>
    <r>
      <rPr>
        <b/>
        <sz val="12"/>
        <color rgb="FFFF0000"/>
        <rFont val="Times New Roman"/>
        <family val="1"/>
        <charset val="204"/>
      </rPr>
      <t xml:space="preserve"> 16</t>
    </r>
  </si>
  <si>
    <r>
      <t xml:space="preserve">5. Исполнение судебных актов. Удельный вес направления - </t>
    </r>
    <r>
      <rPr>
        <b/>
        <sz val="12"/>
        <color rgb="FFFF0000"/>
        <rFont val="Times New Roman"/>
        <family val="1"/>
        <charset val="204"/>
      </rPr>
      <t>10</t>
    </r>
  </si>
  <si>
    <r>
      <t xml:space="preserve">6. Автоматизация бюджетного процесса. Удельный вес направления - </t>
    </r>
    <r>
      <rPr>
        <b/>
        <sz val="12"/>
        <color rgb="FFFF0000"/>
        <rFont val="Times New Roman"/>
        <family val="1"/>
        <charset val="204"/>
      </rPr>
      <t xml:space="preserve"> 8</t>
    </r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</si>
  <si>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ВТОРОЙ КВАРТАЛ 2016 ГОДА
</t>
  </si>
  <si>
    <t>Уровень качества ф  высокий</t>
  </si>
  <si>
    <t>более10</t>
  </si>
  <si>
    <t>Зам.главы Администрации по финансовым вопросам- начальник управления финансов</t>
  </si>
  <si>
    <t>Л.Н.Михайлова 4-14-48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</si>
  <si>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ТРЕТИЙ КВАРТАЛ 2016 ГОДА
</t>
  </si>
  <si>
    <t>более 10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</si>
  <si>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ЧЕТВЕРТЫЙ КВАРТАЛ 2016 ГОДА
</t>
  </si>
  <si>
    <t>1-3</t>
  </si>
  <si>
    <t>4-5</t>
  </si>
  <si>
    <t xml:space="preserve">ПОКАЗАТЕЛИ
ГОДОВОГО МОНИТОРИНГА КАЧЕСТВА ФИНАНСОВОГО МЕНЕДЖМЕНТА, ОСУЩЕСТВЛЯЕМОГО ГЛАВНЫМИ РАСПОРЯДИТЕЛЯМИ
СРЕДСТВ БЮДЖЕТА МУНИЦИПАЛЬНОГО ОБРАЗОВАНИЯ «МАЛОПУРГИНСКИЙ РАЙОН» за 2016 г.
</t>
  </si>
  <si>
    <t>100*44,6/9647,2=0,5</t>
  </si>
  <si>
    <t>100*131066,9/142172,1=92,2</t>
  </si>
  <si>
    <t>100*80324,9/82720,9=97,1</t>
  </si>
  <si>
    <t>100*600991,3/601229,7=99,9</t>
  </si>
  <si>
    <t>72102,4-44649,6=27452,8(к.р.IVкв.) 44649,6/3=14883,2-к.р.в сред.за I-IIIкв.</t>
  </si>
  <si>
    <t>100*(27452,8-14883,2)/14883,2=84,4  Р=0,5*20=10</t>
  </si>
  <si>
    <t>9624,0-6986,5=2637,5(к.р.IVкв.) 6986,5/3=2328,8-к.р.в сред.за I-IIIкв.</t>
  </si>
  <si>
    <t>100*(2637,5-2328,8)/2328,8=13,3    Р=1*20</t>
  </si>
  <si>
    <t>7721,1-5377,8=2343,3(к.р.IVкв.) 5377,8/3=1792,6-к.р.в сред.за I-IIIкв.</t>
  </si>
  <si>
    <t>100*(2343,3-1792,6)/1792,6=30,7, Р=1*20=20</t>
  </si>
  <si>
    <t>81084-55346,6=25737,4(к.р.IVкв.) 55346,6/3=18448,9-к.р.в сред.за I-IIIкв.</t>
  </si>
  <si>
    <t>100*(25737,4-18448,9)/18448,9=39,5     Р=1*20=20</t>
  </si>
  <si>
    <t>158390,2-98660,1=59730,1(к.р.IVкв.)98660,1/3=32886,7-к.р.в сред.за I-IIIкв</t>
  </si>
  <si>
    <t>100*(59730,1-32886,7)/32886,7=81,6   Р=0,5*20=10</t>
  </si>
  <si>
    <t>100*(1882,3/72102,4)=2,6</t>
  </si>
  <si>
    <t>100*(2174,7/144130,7)=1,5</t>
  </si>
  <si>
    <t>100*(3931,8/4269,0)=92,1</t>
  </si>
  <si>
    <t>100*(107776,4/107917,4)=99,7</t>
  </si>
  <si>
    <t>колич-во изменений составл. менее 10</t>
  </si>
  <si>
    <t>Р=0,5</t>
  </si>
  <si>
    <t>100*73667,3/82720,9=89,1</t>
  </si>
  <si>
    <t>100*474782,2/601229,7=79,0</t>
  </si>
  <si>
    <t>100*4332,5/142172,1=3,05</t>
  </si>
  <si>
    <t>100*(72959,6/75193,8)=97,0</t>
  </si>
  <si>
    <t>100*(474782,2/474782,2)=100</t>
  </si>
  <si>
    <t>600939,3/601229,7=99,9</t>
  </si>
  <si>
    <t>82159,6/82720,9=99,3</t>
  </si>
  <si>
    <t>7039,4/7039,4=100</t>
  </si>
  <si>
    <t>141888,3/142172,1=99,8</t>
  </si>
  <si>
    <t>годовая бюджетная отчетность представлена с нарушением сроков =0,8</t>
  </si>
  <si>
    <t>проведено 18 мероприятий по внутреннему финансовому контролю =1</t>
  </si>
  <si>
    <t>проведено 4 мероприятия по внутреннему финансовому контролю =1</t>
  </si>
  <si>
    <t>проведено 7 мероприятий по внутреннему финансовому контролю =1</t>
  </si>
  <si>
    <t>подведомственные учреждения проверялись =1</t>
  </si>
  <si>
    <t>Расчет показателя, 0503160G_т6</t>
  </si>
  <si>
    <t>Расчет показателя, форма отчета  0503160G_т6</t>
  </si>
  <si>
    <r>
      <t xml:space="preserve">Расчет показателя, </t>
    </r>
    <r>
      <rPr>
        <i/>
        <sz val="12"/>
        <color theme="5" tint="-0.499984740745262"/>
        <rFont val="Times New Roman"/>
        <family val="1"/>
        <charset val="204"/>
      </rPr>
      <t>формы 0503160_т5(табл.2), аs06МО квартал(стр.2802)</t>
    </r>
  </si>
  <si>
    <t>9647,2/9647,2=100,0</t>
  </si>
  <si>
    <t>количество дней отклонения от даты представления отчета нет    Р=1</t>
  </si>
  <si>
    <t>100*7039,4/7039,4=100</t>
  </si>
  <si>
    <t>Отчет предоставлен с нарушением сроков =0,5</t>
  </si>
  <si>
    <t>Отчет предоставлен с корректировками  =0,5</t>
  </si>
  <si>
    <t>муниципальные задания не формируются, =100%,   аб.2 п.9 приказа №58</t>
  </si>
  <si>
    <r>
      <t xml:space="preserve">муниципальные задания не формируются, =100%,   </t>
    </r>
    <r>
      <rPr>
        <sz val="10"/>
        <color theme="1"/>
        <rFont val="Calibri"/>
        <family val="2"/>
        <charset val="204"/>
        <scheme val="minor"/>
      </rPr>
      <t>аб.2 п.9 приказа №58</t>
    </r>
  </si>
  <si>
    <r>
      <rPr>
        <sz val="12"/>
        <color theme="1"/>
        <rFont val="Calibri"/>
        <family val="2"/>
        <charset val="204"/>
        <scheme val="minor"/>
      </rPr>
      <t>подвед-х учреждений нет,=100%</t>
    </r>
    <r>
      <rPr>
        <sz val="10"/>
        <color theme="1"/>
        <rFont val="Calibri"/>
        <family val="2"/>
        <charset val="204"/>
        <scheme val="minor"/>
      </rPr>
      <t>,аб.2 п.9 приказа №58</t>
    </r>
  </si>
  <si>
    <t>количество дней отклонения от даты представления отчета более 5 дней   Р=0</t>
  </si>
  <si>
    <t>количество дней отклонения от даты представления отчета нет   Р=1</t>
  </si>
  <si>
    <r>
      <t xml:space="preserve">100*(73667,3/75193,8)=98,0 </t>
    </r>
    <r>
      <rPr>
        <sz val="10"/>
        <color theme="1"/>
        <rFont val="Calibri"/>
        <family val="2"/>
        <charset val="204"/>
        <scheme val="minor"/>
      </rPr>
      <t xml:space="preserve"> 98*1,1%=107,8 (примечание к расч.)</t>
    </r>
  </si>
  <si>
    <t>С.А. Кузнецов 4-14-48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</si>
  <si>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ПЕРВЫЙ  КВАРТАЛ 2017 ГОДА
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</si>
  <si>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ВТОРОЙ  КВАРТАЛ 2017 ГОДА
</t>
  </si>
  <si>
    <t>Р=100*(600000,00-0,00)/(0,00)</t>
  </si>
  <si>
    <t>1</t>
  </si>
  <si>
    <t>2-4</t>
  </si>
  <si>
    <t>5</t>
  </si>
  <si>
    <t>Уровень качества высокий</t>
  </si>
  <si>
    <t xml:space="preserve">Уровень качества 
низкий
</t>
  </si>
  <si>
    <t>Зам.начальника Управления финансов - начальник отдела</t>
  </si>
  <si>
    <t>Г.И. Иванова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</si>
  <si>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ТРЕТИЙ  КВАРТАЛ 2017 ГОДА
</t>
  </si>
  <si>
    <t>Р=100*(400401,65-600000,00)/(600000,00)=-33,3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</si>
  <si>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ЧЕТВЕРТЫЙ  КВАРТАЛ 2017 ГОДА
</t>
  </si>
  <si>
    <t>Р=100*(545419,19-400401,65)/(400401,65)=36,2</t>
  </si>
  <si>
    <t>4</t>
  </si>
  <si>
    <t>Зам.главы администрации по финансовым вопросам- начальник управления финансов</t>
  </si>
  <si>
    <t xml:space="preserve">ПОКАЗАТЕЛИ
ГОДОВОГО МОНИТОРИНГА КАЧЕСТВА ФИНАНСОВОГО МЕНЕДЖМЕНТА, ОСУЩЕСТВЛЯЕМОГО ГЛАВНЫМИ РАСПОРЯДИТЕЛЯМИ
СРЕДСТВ БЮДЖЕТА МУНИЦИПАЛЬНОГО ОБРАЗОВАНИЯ «МАЛОПУРГИНСКИЙ РАЙОН» за 2017 г.
</t>
  </si>
  <si>
    <t>100*7662,4/7662,4=100</t>
  </si>
  <si>
    <t>100*0/2552,1=0</t>
  </si>
  <si>
    <t>100*140689,9/193288,9=72,8</t>
  </si>
  <si>
    <t>100*99739,0/102192,0=97,6</t>
  </si>
  <si>
    <t>100*617673,8/624068,4=99,0</t>
  </si>
  <si>
    <t>100*85095,2/85096,3=99,99</t>
  </si>
  <si>
    <t>95624,9/101192,0=94,5</t>
  </si>
  <si>
    <t>2552,1/2552,1=100,0</t>
  </si>
  <si>
    <t>2524,5-1813,1=711,4(к.р.IVкв.) 1813,1/3=604,4-к.р.в сред.за I-IIIкв.</t>
  </si>
  <si>
    <t>7650,7-5552,5=2098,2(к.р.IVкв.) 5552,5/3=1850,8-к.р.в сред.за I-IIIкв.</t>
  </si>
  <si>
    <t>100*(2098,2-1850,8)/1850,8=13,4, Р=1*20=20</t>
  </si>
  <si>
    <t>100*(711,4-604,4)/604,4=17,7    Р=1*20=20</t>
  </si>
  <si>
    <t>82703,3-58561,3=24142(к.р.IVкв.) 58561,3/3=19520,4-к.р.в сред.за I-IIIкв.</t>
  </si>
  <si>
    <t>100*(24142-19520,4)/19520,4=23,7     Р=1*20=20</t>
  </si>
  <si>
    <t>64765,9-43900,7=20865,2(к.р.IVкв.) 43900,7/3=14633,6-к.р.в сред.за I-IIIкв.</t>
  </si>
  <si>
    <t>100*(20865,2-14633,6)/14633,6=42,6  Р=1*20=20</t>
  </si>
  <si>
    <t>144910,8-100239,3=44671,5(к.р.IVкв.)100239,3/3=33413,1-к.р.в сред.за I-IIIкв</t>
  </si>
  <si>
    <t>100*(44671,5-33413,1)/33413,1=33,7   Р=1*20=20</t>
  </si>
  <si>
    <r>
      <t xml:space="preserve">100*(85095,2/92731,3)=91,8 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</si>
  <si>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100*(485108,9/557029,1)=87,1</t>
  </si>
  <si>
    <t>7659,4/7659,4=100</t>
  </si>
  <si>
    <t>100*(545,4-0)/0</t>
  </si>
  <si>
    <t>100*(83271,4/85096,3)=97,9</t>
  </si>
  <si>
    <t>100*475595,2/594777,9=80,0</t>
  </si>
  <si>
    <t>100*(475595,2/475595,2)=100</t>
  </si>
  <si>
    <t>462494,3/611998,7=75,6</t>
  </si>
  <si>
    <t>проведено 14 мероприятий по внутреннему финансовому контролю =1</t>
  </si>
  <si>
    <t>проведено 5 мероприятий по внутреннему финансовому контролю =1</t>
  </si>
  <si>
    <t>проведено 2 мероприятия по внутреннему финансовому контролю =1</t>
  </si>
  <si>
    <t>проведено 7 мероприятия по внутреннему финансовому контролю =1</t>
  </si>
  <si>
    <t>Расчет показателя, форма отчета  0503160G_т6 (прописано в пояснительной записке, 0503160G_т6 заполняется при выявлении недостач и хищений денежных средств и материальных ценностей)</t>
  </si>
  <si>
    <t>Расчет показателя, 0503160G_т6  (прописано в пояснительной записке, 0503160G_т6 заполняется при выявлении недостач и хищений денежных средств и материальных ценностей)</t>
  </si>
  <si>
    <t>Не рассчитывается.подведомственных учреждений нет = 1</t>
  </si>
  <si>
    <t>Отчет предоставлен с корректировками  =1</t>
  </si>
  <si>
    <t>100*(8877,0/8877,0)=100,0</t>
  </si>
  <si>
    <t>100*(35037,4/35037,4)=100,0</t>
  </si>
  <si>
    <t>192465,0/193288,9=99,6</t>
  </si>
  <si>
    <t>2</t>
  </si>
  <si>
    <t>3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</si>
  <si>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ПЕРВЫЙ  КВАРТАЛ 2018 ГОДА
</t>
  </si>
  <si>
    <t>Р=100*(2386773,37-545419,19)/(545419,19)=337,6</t>
  </si>
  <si>
    <t>1-2</t>
  </si>
  <si>
    <t>3-4</t>
  </si>
  <si>
    <t>Уровень качества 
низкий</t>
  </si>
  <si>
    <t>Уровень качества  высокий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</si>
  <si>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ВТОРОЙ  КВАРТАЛ 2018 ГОДА
</t>
  </si>
  <si>
    <r>
      <t>1. Качество планирования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</si>
  <si>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Р=100*(3001457,94-545419,19)/(545419,19)=450,3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</si>
  <si>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ТРЕТИЙ  КВАРТАЛ 2018 ГОДА
</t>
  </si>
  <si>
    <t>Р=100*(3001457,94-3001457,94)/(3001457,94)=0</t>
  </si>
  <si>
    <t>Р=100*(300000-0)/(0)=0</t>
  </si>
  <si>
    <t xml:space="preserve">ПОКАЗАТЕЛИ
ГОДОВОГО МОНИТОРИНГА КАЧЕСТВА ФИНАНСОВОГО МЕНЕДЖМЕНТА, ОСУЩЕСТВЛЯЕМОГО ГЛАВНЫМИ РАСПОРЯДИТЕЛЯМИ
СРЕДСТВ БЮДЖЕТА МУНИЦИПАЛЬНОГО ОБРАЗОВАНИЯ «МАЛОПУРГИНСКИЙ РАЙОН» за 2018 г.
</t>
  </si>
  <si>
    <t>100*89981,4/135551,2=66,4</t>
  </si>
  <si>
    <t>100*0/2989,9=0</t>
  </si>
  <si>
    <t>100*43540,7/47433,9=91,8</t>
  </si>
  <si>
    <t>100*105078,2/105408,7=99,7</t>
  </si>
  <si>
    <t>100*702342,6/705580,7=99,5</t>
  </si>
  <si>
    <r>
      <t>1.4. Своевременность предоставления реестра расходных обязательств главных распорядителей,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)  </t>
    </r>
  </si>
  <si>
    <t>100*82416,4/82416,4=100</t>
  </si>
  <si>
    <t>100*556298,5/556298,5=100</t>
  </si>
  <si>
    <t>отчет не представлен  Р=0</t>
  </si>
  <si>
    <t>100*(10786,3/10786,3)=100,0</t>
  </si>
  <si>
    <t>100*(35437,5/35437,5)=100,0</t>
  </si>
  <si>
    <r>
      <t xml:space="preserve">100*(80908,4/88509,1)=91,4 </t>
    </r>
    <r>
      <rPr>
        <sz val="10"/>
        <color theme="1"/>
        <rFont val="Calibri"/>
        <family val="2"/>
        <charset val="204"/>
        <scheme val="minor"/>
      </rPr>
      <t xml:space="preserve"> </t>
    </r>
  </si>
  <si>
    <r>
      <t xml:space="preserve">100*(1508,9/1508,9)=100 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</si>
  <si>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100*(543285,9/615962,6)=88,2</t>
  </si>
  <si>
    <t>100*1552,7/1552,7=100</t>
  </si>
  <si>
    <t>просроченная кредиторская задолж-ть отсутств. =0</t>
  </si>
  <si>
    <t>Отчет предоставлен своевременно  =01</t>
  </si>
  <si>
    <t>проведено 3 мероприятия по внутреннему финансовому контролю =1</t>
  </si>
  <si>
    <t>проведено 6 мероприятий по внутреннему финансовому контролю =1</t>
  </si>
  <si>
    <t>Начальник Управления финансов</t>
  </si>
  <si>
    <t>2985,4-1862,8=1122,6(к.р.IVкв.) 1862,8/3=620,9-к.р.в сред.за I-IIIкв.</t>
  </si>
  <si>
    <t>100*(1122,6-620,9)/620,9=80,8   Р=0,5*20=10</t>
  </si>
  <si>
    <t>44580,4-30746,6=13833,8(к.р.IVкв.) 30746,6/3=10248,9-к.р.в сред.за I-IIIкв.</t>
  </si>
  <si>
    <t>100*(13833,8-10248,9)/10248,9=35, Р=1*20=20</t>
  </si>
  <si>
    <t>153209,3-104691=48518,3(к.р.IVкв.)104691/3=34897-к.р.в сред.за I-IIIкв</t>
  </si>
  <si>
    <t>100*(48518,3-34987)/34987=38,7   Р=1*20=20</t>
  </si>
  <si>
    <t>96197,4-69784,7=26412,7(к.р.IVкв.) 69784,7/3=23261,6-к.р.в сред.за I-IIIкв.</t>
  </si>
  <si>
    <t>100*(26412,7-23261,6)/23261,6=13,5     Р=1*20=20</t>
  </si>
  <si>
    <t>74944,5-54412,1=20523,4(к.р.IVкв.)54412,1/3=18137,4-к.р.в сред.за I-IIIкв.</t>
  </si>
  <si>
    <t>100*(20523,4-18137,4)/18137,4=13,2  Р=1*20=20</t>
  </si>
  <si>
    <t>С.А. Кузнецов 4-12-79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</si>
  <si>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«МАЛОПУРГИНСКИЙ РАЙОН» ЗА ПЕРВЫЙ  КВАРТАЛ 2019 ГОДА
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</si>
  <si>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«МАЛОПУРГИНСКИЙ РАЙОН» ЗА ВТОРОЙ  КВАРТАЛ 2019 ГОДА
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</si>
  <si>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«МАЛОПУРГИНСКИЙ РАЙОН» ЗА ТРЕТИЙ КВАРТАЛ 2019 ГОДА
</t>
  </si>
  <si>
    <t>С.А. Кузнецов 4-13-87</t>
  </si>
  <si>
    <t xml:space="preserve">ПОКАЗАТЕЛИ
ГОДОВОГО МОНИТОРИНГА КАЧЕСТВА ФИНАНСОВОГО МЕНЕДЖМЕНТА, ОСУЩЕСТВЛЯЕМОГО ГЛАВНЫМИ РАСПОРЯДИТЕЛЯМИ
СРЕДСТВ БЮДЖЕТА МУНИЦИПАЛЬНОГО ОБРАЗОВАНИЯ «МАЛОПУРГИНСКИЙ РАЙОН» за 2019 г.
</t>
  </si>
  <si>
    <t>100*344890,8/411123,9=83,9</t>
  </si>
  <si>
    <t>100*0/2775,4=0</t>
  </si>
  <si>
    <t>100*59782,2/62043=96,4</t>
  </si>
  <si>
    <t>100*715313,8/717826,5=99,7</t>
  </si>
  <si>
    <t>100*0/19612,4=0</t>
  </si>
  <si>
    <t>муниципальные задания не формируются, =100%,   аб.2 п.9 приказа №58 (подведомственных казенных учреждений нет)</t>
  </si>
  <si>
    <t>100*38915,3/38915,3=100</t>
  </si>
  <si>
    <t>Отчет формирует УФ</t>
  </si>
  <si>
    <t>100*121174,6/140787,0=86,1</t>
  </si>
  <si>
    <t>100*601829,5/601829,5=100</t>
  </si>
  <si>
    <t>100*233541,9/236768,6=98,6</t>
  </si>
  <si>
    <t>100*2312,5/2654,9=87,1</t>
  </si>
  <si>
    <t>100*46216,/46216,6=100</t>
  </si>
  <si>
    <t>100*660051,4/660051,4=100</t>
  </si>
  <si>
    <t>проведено 8 мероприятий по внутреннему финансовому контролю =1</t>
  </si>
  <si>
    <t>проведено 4 мероприятий по внутреннему финансовому контролю =1</t>
  </si>
  <si>
    <t>Заместитель начальника Управления финансов</t>
  </si>
  <si>
    <t>100*(20127,5/20127,5)=100,0</t>
  </si>
  <si>
    <t>100*(36048,9/36048,9)=100,0</t>
  </si>
  <si>
    <r>
      <t xml:space="preserve">100*(133290,7/133290,7)=100 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</si>
  <si>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100*(567157,3/567157,3)=100</t>
  </si>
  <si>
    <t>369313,4-161050,3=208263,1(к.р.IVкв.)161050,3/3=53683,4-к.р.в сред.за I-IIIкв.</t>
  </si>
  <si>
    <t>100*(208263,1-53683,4)/53683,4=288  Р=0*20=0</t>
  </si>
  <si>
    <t>2762,0-2059,6=702,4(к.р.IVкв.) 2059,6/3=686,5-к.р.в сред.за I-IIIкв.</t>
  </si>
  <si>
    <t>100*(702,4-686,5)/686,5=2,3   Р=1*20=20</t>
  </si>
  <si>
    <t>60421,5-40841,2=19580,3(к.р.IVкв.) 40841,2/3=13613,7-к.р.в сред.за I-IIIкв.</t>
  </si>
  <si>
    <t>100*(19580,3-13613,7)/13613,7=43,8 Р=1*20=20</t>
  </si>
  <si>
    <t>705511,2-456552,1=248959,1(к.р.IVкв.)456552,1/3=152184,0-к.р.в сред.за I-IIIкв</t>
  </si>
  <si>
    <t>100*(248959,1-152184)/152184=63,6   Р=0,73*20=14,6</t>
  </si>
  <si>
    <t>качество финансового менеджмента главного распорядителя высокий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</si>
  <si>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«МАЛОПУРГИНСКИЙ РАЙОН» ЗА ВТОРОЙ КВАРТАЛ 2020 ГОДА
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</si>
  <si>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«МАЛОПУРГИНСКИЙ РАЙОН» ЗА ТРЕТИЙ КВАРТАЛ 2020 ГОДА
</t>
  </si>
  <si>
    <t>Просроченная кредиторская задолженность на 01.10.2020г 175,0 тыс. рублей (на 01.09.2020г. 0,0 тыс. рублей)</t>
  </si>
  <si>
    <t>Уровень качества  низкий</t>
  </si>
  <si>
    <t xml:space="preserve">ПОКАЗАТЕЛИ
ГОДОВОГО МОНИТОРИНГА КАЧЕСТВА ФИНАНСОВОГО МЕНЕДЖМЕНТА, ОСУЩЕСТВЛЯЕМОГО ГЛАВНЫМИ РАСПОРЯДИТЕЛЯМИ
СРЕДСТВ БЮДЖЕТА МУНИЦИПАЛЬНОГО ОБРАЗОВАНИЯ «МАЛОПУРГИНСКИЙ РАЙОН» за 2020 г.
</t>
  </si>
  <si>
    <t>100*319958,5/353502,7=90,5</t>
  </si>
  <si>
    <t>100*0/2478,4=0</t>
  </si>
  <si>
    <t>100*63554,9/64506,7=98,5</t>
  </si>
  <si>
    <t>100*669394,1/682214,4=98,1</t>
  </si>
  <si>
    <t>100*18730,4/18730,4=100,0</t>
  </si>
  <si>
    <t>100*24838,0/24838,0=100</t>
  </si>
  <si>
    <t>100*129928,1/129928,1=100,0</t>
  </si>
  <si>
    <t>100*574592,3/574592,3=100</t>
  </si>
  <si>
    <t>100*(22176,6/22176,6)=100,0</t>
  </si>
  <si>
    <t>100*(25201,1/25201,1)=100,0</t>
  </si>
  <si>
    <t>100*(550122,8/550122,8)=100</t>
  </si>
  <si>
    <r>
      <t xml:space="preserve">100*(119374,0/119374,0)=100 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</si>
  <si>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100*220458,7/229197,5=96,2</t>
  </si>
  <si>
    <t>100*2303,4/2478,4=92,9</t>
  </si>
  <si>
    <t>100*57029,9/57029,9=100</t>
  </si>
  <si>
    <t>100*(68326,8-52282,3)/52282,3=30,7  Р=1*20=20</t>
  </si>
  <si>
    <t>IV кв. касс.расх. 667,5 т.р.; ср. за I-III кв. - 596,6 т.р.</t>
  </si>
  <si>
    <t>IV кв. касс.расх. 68 326,8 т.р.; ср. за I-III кв. - 52 282,3 т.р.</t>
  </si>
  <si>
    <t>100*(667,5-596,6)/596,6=11,9 Р=1*20=20</t>
  </si>
  <si>
    <t>IV кв. касс.расх. 21 750,0 т.р.; ср. за I-III кв. - 10 877,2 т.р.</t>
  </si>
  <si>
    <t>100*(21750-10877,2)/10877,2=99,9 Р=0,002*20=0,04</t>
  </si>
  <si>
    <t>IV кв. касс.расх. 37 344,9 т.р.; ср. за I-III кв. - 28 382,1 т.р.</t>
  </si>
  <si>
    <t>100*(37344,9-28382,1)/28382,1=31,6   Р=1*20=20</t>
  </si>
  <si>
    <t>проведено 1 мероприятие по внутреннему финансовому контролю (аудиту) =1</t>
  </si>
  <si>
    <t>проведено 1 мероприятие по внутреннему финансовому контролю (аудиту)  =1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</si>
  <si>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«МАЛОПУРГИНСКИЙ РАЙОН» ЗА ПЕРВЫЙ КВАРТАЛ 2021 ГОДА
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</si>
  <si>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«МАЛОПУРГИНСКИЙ РАЙОН» ЗА ВТОРОЙ КВАРТАЛ 2021 ГОДА
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</si>
  <si>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«МАЛОПУРГИНСКИЙ РАЙОН» ЗА ТРЕТИЙ КВАРТАЛ 2021 ГОДА
</t>
  </si>
  <si>
    <t xml:space="preserve">ПОКАЗАТЕЛИ
ГОДОВОГО МОНИТОРИНГА КАЧЕСТВА ФИНАНСОВОГО МЕНЕДЖМЕНТА, ОСУЩЕСТВЛЯЕМОГО ГЛАВНЫМИ РАСПОРЯДИТЕЛЯМИ
СРЕДСТВ БЮДЖЕТА МУНИЦИПАЛЬНОГО ОБРАЗОВАНИЯ «МАЛОПУРГИНСКИЙ РАЙОН» за 2021 г.
</t>
  </si>
  <si>
    <t>100*5753,2/5809,6=99</t>
  </si>
  <si>
    <t>100*0/2517,1=0</t>
  </si>
  <si>
    <t>100*739499,3/761704,3=97,1</t>
  </si>
  <si>
    <t>100*407065,2/421911,3=96,5</t>
  </si>
  <si>
    <t>100*19787,4/19787,4=100,0</t>
  </si>
  <si>
    <t>100*10477,6/10477,6=100</t>
  </si>
  <si>
    <t>100*131455,3/131455,3=100,0</t>
  </si>
  <si>
    <t>100*605514/605514=100</t>
  </si>
  <si>
    <t>100*2517,1/2517,1=100</t>
  </si>
  <si>
    <t>IV кв. касс.расх. 150 375,4 т.р.; ср. за I-III кв. - 84 484,4 т.р.</t>
  </si>
  <si>
    <t>IV кв. касс.расх. 707,0 т.р.; ср. за I-III кв. - 578,2 т.р.</t>
  </si>
  <si>
    <t>100*(707-678,2)/678,2=4,2 Р=1*20=20</t>
  </si>
  <si>
    <t>100*(150375,4-84484,4)/84484,4=78  Р=0,44*20=8,8</t>
  </si>
  <si>
    <t>IV кв. касс.расх. 14566,6 т.р.; ср. за I-III кв. - 9027,3 т.р.</t>
  </si>
  <si>
    <t>100*(14566,6-9027,3)/9027,3=61,4 Р=0,77*20=15,4</t>
  </si>
  <si>
    <t>IV кв. касс.расх. 240829,6 т.р.; ср. за I-III кв. - 168096,8 т.р.</t>
  </si>
  <si>
    <t>100*(240829,6-168096,8)/168096,8=43,3   Р=1*20=20</t>
  </si>
  <si>
    <t>100*(19787,4/19787,4)=100,0</t>
  </si>
  <si>
    <t>100*(10477,6/10477,6)=100,0</t>
  </si>
  <si>
    <r>
      <t xml:space="preserve">100*(131455,3/131455,3)=100 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</si>
  <si>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100*(605514/605514)=100</t>
  </si>
  <si>
    <t>проведено 0 мероприятие по внутреннему финансовому контролю (аудиту)  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</si>
</sst>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9" fillId="0" borderId="0" xfId="0" applyFont="1"/>
    <xf numFmtId="0" fontId="18" fillId="0" borderId="1" xfId="0" applyFont="1" applyBorder="1" applyAlignment="1">
      <alignment horizontal="justify" vertical="center" wrapText="1"/>
    </xf>
    <xf numFmtId="0" fontId="18" fillId="0" borderId="5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/>
    </xf>
    <xf numFmtId="0" fontId="18" fillId="0" borderId="1" xfId="0" applyFont="1" applyBorder="1"/>
    <xf numFmtId="0" fontId="18" fillId="0" borderId="6" xfId="0" applyFont="1" applyBorder="1" applyAlignment="1">
      <alignment horizontal="justify" vertical="center" wrapText="1"/>
    </xf>
    <xf numFmtId="0" fontId="18" fillId="0" borderId="1" xfId="0" applyFont="1" applyBorder="1" applyAlignment="1">
      <alignment wrapText="1"/>
    </xf>
    <xf numFmtId="0" fontId="22" fillId="0" borderId="1" xfId="0" applyFont="1" applyBorder="1"/>
    <xf numFmtId="0" fontId="20" fillId="0" borderId="1" xfId="0" applyFont="1" applyBorder="1" applyAlignment="1">
      <alignment horizontal="center" vertical="center"/>
    </xf>
    <xf numFmtId="0" fontId="19" fillId="0" borderId="0" xfId="0" applyFont="1" applyBorder="1"/>
    <xf numFmtId="0" fontId="23" fillId="0" borderId="0" xfId="0" applyFont="1"/>
    <xf numFmtId="0" fontId="23" fillId="0" borderId="1" xfId="0" applyFont="1" applyBorder="1"/>
    <xf numFmtId="0" fontId="20" fillId="0" borderId="7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24" fillId="0" borderId="1" xfId="0" applyFont="1" applyBorder="1"/>
    <xf numFmtId="2" fontId="22" fillId="0" borderId="1" xfId="0" applyNumberFormat="1" applyFont="1" applyBorder="1"/>
    <xf numFmtId="0" fontId="22" fillId="0" borderId="1" xfId="0" applyFont="1" applyBorder="1" applyAlignment="1">
      <alignment wrapText="1"/>
    </xf>
    <xf numFmtId="0" fontId="22" fillId="0" borderId="9" xfId="0" applyFont="1" applyBorder="1"/>
    <xf numFmtId="0" fontId="22" fillId="0" borderId="7" xfId="0" applyFont="1" applyBorder="1"/>
    <xf numFmtId="0" fontId="22" fillId="0" borderId="10" xfId="0" applyFont="1" applyBorder="1"/>
    <xf numFmtId="0" fontId="22" fillId="0" borderId="8" xfId="0" applyFont="1" applyBorder="1"/>
    <xf numFmtId="0" fontId="22" fillId="0" borderId="11" xfId="0" applyFont="1" applyBorder="1"/>
    <xf numFmtId="14" fontId="22" fillId="0" borderId="1" xfId="0" applyNumberFormat="1" applyFont="1" applyBorder="1"/>
    <xf numFmtId="14" fontId="22" fillId="0" borderId="10" xfId="0" applyNumberFormat="1" applyFont="1" applyBorder="1"/>
    <xf numFmtId="0" fontId="22" fillId="0" borderId="10" xfId="0" applyFont="1" applyBorder="1" applyAlignment="1">
      <alignment wrapText="1"/>
    </xf>
    <xf numFmtId="0" fontId="17" fillId="0" borderId="10" xfId="0" applyFont="1" applyBorder="1" applyAlignment="1">
      <alignment vertical="top" wrapText="1"/>
    </xf>
    <xf numFmtId="0" fontId="17" fillId="0" borderId="1" xfId="0" applyFont="1" applyBorder="1" applyAlignment="1">
      <alignment wrapText="1"/>
    </xf>
    <xf numFmtId="0" fontId="22" fillId="0" borderId="7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18" fillId="0" borderId="12" xfId="0" applyFont="1" applyBorder="1" applyAlignment="1">
      <alignment horizontal="justify" vertical="center" wrapText="1"/>
    </xf>
    <xf numFmtId="0" fontId="0" fillId="0" borderId="1" xfId="0" applyBorder="1"/>
    <xf numFmtId="0" fontId="18" fillId="0" borderId="0" xfId="0" applyFont="1" applyAlignment="1">
      <alignment wrapText="1"/>
    </xf>
    <xf numFmtId="0" fontId="22" fillId="0" borderId="1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30" fillId="0" borderId="1" xfId="0" applyFont="1" applyBorder="1"/>
    <xf numFmtId="0" fontId="20" fillId="0" borderId="1" xfId="0" applyFont="1" applyBorder="1" applyAlignment="1">
      <alignment wrapText="1"/>
    </xf>
    <xf numFmtId="0" fontId="31" fillId="0" borderId="1" xfId="0" applyFont="1" applyBorder="1"/>
    <xf numFmtId="49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3" fillId="0" borderId="1" xfId="0" applyFont="1" applyBorder="1" applyAlignment="1">
      <alignment vertical="top" wrapText="1"/>
    </xf>
    <xf numFmtId="0" fontId="33" fillId="0" borderId="10" xfId="0" applyFont="1" applyBorder="1" applyAlignment="1">
      <alignment wrapText="1"/>
    </xf>
    <xf numFmtId="0" fontId="34" fillId="0" borderId="10" xfId="0" applyFont="1" applyBorder="1"/>
    <xf numFmtId="0" fontId="33" fillId="0" borderId="10" xfId="0" applyFont="1" applyBorder="1"/>
    <xf numFmtId="0" fontId="33" fillId="0" borderId="1" xfId="0" applyFont="1" applyBorder="1"/>
    <xf numFmtId="0" fontId="34" fillId="0" borderId="1" xfId="0" applyFont="1" applyBorder="1"/>
    <xf numFmtId="0" fontId="34" fillId="2" borderId="1" xfId="0" applyFont="1" applyFill="1" applyBorder="1"/>
    <xf numFmtId="1" fontId="34" fillId="0" borderId="10" xfId="0" applyNumberFormat="1" applyFont="1" applyBorder="1"/>
    <xf numFmtId="0" fontId="35" fillId="0" borderId="1" xfId="0" applyFont="1" applyBorder="1"/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vertical="top" wrapText="1"/>
    </xf>
    <xf numFmtId="0" fontId="16" fillId="0" borderId="1" xfId="0" applyFont="1" applyBorder="1"/>
    <xf numFmtId="0" fontId="37" fillId="0" borderId="1" xfId="0" applyFont="1" applyBorder="1"/>
    <xf numFmtId="2" fontId="22" fillId="0" borderId="10" xfId="0" applyNumberFormat="1" applyFont="1" applyBorder="1"/>
    <xf numFmtId="0" fontId="22" fillId="2" borderId="10" xfId="0" applyFont="1" applyFill="1" applyBorder="1"/>
    <xf numFmtId="0" fontId="22" fillId="2" borderId="1" xfId="0" applyFont="1" applyFill="1" applyBorder="1"/>
    <xf numFmtId="0" fontId="22" fillId="2" borderId="7" xfId="0" applyFont="1" applyFill="1" applyBorder="1" applyAlignment="1">
      <alignment wrapText="1"/>
    </xf>
    <xf numFmtId="0" fontId="18" fillId="2" borderId="1" xfId="0" applyFont="1" applyFill="1" applyBorder="1"/>
    <xf numFmtId="0" fontId="18" fillId="2" borderId="1" xfId="0" applyFont="1" applyFill="1" applyBorder="1" applyAlignment="1">
      <alignment wrapText="1"/>
    </xf>
    <xf numFmtId="0" fontId="15" fillId="0" borderId="1" xfId="0" applyFont="1" applyBorder="1"/>
    <xf numFmtId="0" fontId="14" fillId="2" borderId="1" xfId="0" applyFont="1" applyFill="1" applyBorder="1"/>
    <xf numFmtId="0" fontId="18" fillId="2" borderId="1" xfId="0" applyFont="1" applyFill="1" applyBorder="1" applyAlignment="1">
      <alignment horizontal="justify" vertical="center"/>
    </xf>
    <xf numFmtId="2" fontId="22" fillId="2" borderId="1" xfId="0" applyNumberFormat="1" applyFont="1" applyFill="1" applyBorder="1"/>
    <xf numFmtId="0" fontId="38" fillId="0" borderId="1" xfId="0" applyFont="1" applyBorder="1"/>
    <xf numFmtId="0" fontId="0" fillId="0" borderId="1" xfId="0" applyBorder="1" applyAlignment="1">
      <alignment wrapText="1"/>
    </xf>
    <xf numFmtId="0" fontId="34" fillId="2" borderId="10" xfId="0" applyFont="1" applyFill="1" applyBorder="1"/>
    <xf numFmtId="0" fontId="33" fillId="2" borderId="1" xfId="0" applyFont="1" applyFill="1" applyBorder="1"/>
    <xf numFmtId="0" fontId="39" fillId="0" borderId="0" xfId="0" applyFont="1"/>
    <xf numFmtId="0" fontId="13" fillId="0" borderId="1" xfId="0" applyFont="1" applyBorder="1"/>
    <xf numFmtId="0" fontId="13" fillId="0" borderId="10" xfId="0" applyFont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22" fillId="2" borderId="9" xfId="0" applyFont="1" applyFill="1" applyBorder="1"/>
    <xf numFmtId="0" fontId="12" fillId="0" borderId="1" xfId="0" applyFont="1" applyBorder="1"/>
    <xf numFmtId="0" fontId="12" fillId="2" borderId="1" xfId="0" applyFont="1" applyFill="1" applyBorder="1"/>
    <xf numFmtId="0" fontId="23" fillId="0" borderId="1" xfId="0" applyFont="1" applyBorder="1" applyAlignment="1">
      <alignment vertical="center" wrapText="1"/>
    </xf>
    <xf numFmtId="14" fontId="22" fillId="0" borderId="10" xfId="0" applyNumberFormat="1" applyFont="1" applyBorder="1" applyAlignment="1">
      <alignment wrapText="1"/>
    </xf>
    <xf numFmtId="14" fontId="22" fillId="0" borderId="1" xfId="0" applyNumberFormat="1" applyFont="1" applyBorder="1" applyAlignment="1">
      <alignment wrapText="1"/>
    </xf>
    <xf numFmtId="0" fontId="11" fillId="0" borderId="1" xfId="0" applyFont="1" applyBorder="1"/>
    <xf numFmtId="0" fontId="37" fillId="0" borderId="1" xfId="0" applyFont="1" applyBorder="1" applyAlignment="1">
      <alignment wrapText="1"/>
    </xf>
    <xf numFmtId="2" fontId="38" fillId="0" borderId="1" xfId="0" applyNumberFormat="1" applyFont="1" applyBorder="1"/>
    <xf numFmtId="2" fontId="22" fillId="2" borderId="10" xfId="0" applyNumberFormat="1" applyFont="1" applyFill="1" applyBorder="1"/>
    <xf numFmtId="0" fontId="22" fillId="2" borderId="7" xfId="0" applyFont="1" applyFill="1" applyBorder="1"/>
    <xf numFmtId="2" fontId="22" fillId="2" borderId="7" xfId="0" applyNumberFormat="1" applyFont="1" applyFill="1" applyBorder="1"/>
    <xf numFmtId="0" fontId="23" fillId="2" borderId="1" xfId="0" applyFont="1" applyFill="1" applyBorder="1"/>
    <xf numFmtId="0" fontId="18" fillId="2" borderId="6" xfId="0" applyFont="1" applyFill="1" applyBorder="1" applyAlignment="1">
      <alignment horizontal="justify" vertical="center" wrapText="1"/>
    </xf>
    <xf numFmtId="0" fontId="22" fillId="2" borderId="8" xfId="0" applyFont="1" applyFill="1" applyBorder="1"/>
    <xf numFmtId="0" fontId="22" fillId="2" borderId="8" xfId="0" applyFont="1" applyFill="1" applyBorder="1" applyAlignment="1">
      <alignment vertical="top" wrapText="1"/>
    </xf>
    <xf numFmtId="0" fontId="18" fillId="2" borderId="0" xfId="0" applyFont="1" applyFill="1" applyAlignment="1">
      <alignment wrapText="1"/>
    </xf>
    <xf numFmtId="0" fontId="22" fillId="2" borderId="1" xfId="0" applyFont="1" applyFill="1" applyBorder="1" applyAlignment="1">
      <alignment wrapText="1"/>
    </xf>
    <xf numFmtId="0" fontId="22" fillId="2" borderId="10" xfId="0" applyFont="1" applyFill="1" applyBorder="1" applyAlignment="1">
      <alignment wrapText="1"/>
    </xf>
    <xf numFmtId="0" fontId="22" fillId="2" borderId="11" xfId="0" applyFont="1" applyFill="1" applyBorder="1"/>
    <xf numFmtId="0" fontId="18" fillId="2" borderId="0" xfId="0" applyFont="1" applyFill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0" fontId="33" fillId="2" borderId="10" xfId="0" applyFont="1" applyFill="1" applyBorder="1"/>
    <xf numFmtId="1" fontId="34" fillId="2" borderId="10" xfId="0" applyNumberFormat="1" applyFont="1" applyFill="1" applyBorder="1"/>
    <xf numFmtId="0" fontId="24" fillId="2" borderId="1" xfId="0" applyFont="1" applyFill="1" applyBorder="1"/>
    <xf numFmtId="0" fontId="35" fillId="2" borderId="1" xfId="0" applyFont="1" applyFill="1" applyBorder="1"/>
    <xf numFmtId="0" fontId="33" fillId="2" borderId="10" xfId="0" applyFont="1" applyFill="1" applyBorder="1" applyAlignment="1">
      <alignment wrapText="1"/>
    </xf>
    <xf numFmtId="0" fontId="33" fillId="2" borderId="1" xfId="0" applyFont="1" applyFill="1" applyBorder="1" applyAlignment="1">
      <alignment wrapText="1"/>
    </xf>
    <xf numFmtId="4" fontId="34" fillId="2" borderId="1" xfId="0" applyNumberFormat="1" applyFont="1" applyFill="1" applyBorder="1" applyAlignment="1">
      <alignment wrapText="1" shrinkToFit="1"/>
    </xf>
    <xf numFmtId="0" fontId="21" fillId="2" borderId="1" xfId="0" applyFont="1" applyFill="1" applyBorder="1" applyAlignment="1">
      <alignment vertical="center" wrapText="1"/>
    </xf>
    <xf numFmtId="0" fontId="19" fillId="2" borderId="0" xfId="0" applyFont="1" applyFill="1"/>
    <xf numFmtId="0" fontId="0" fillId="2" borderId="0" xfId="0" applyFill="1"/>
    <xf numFmtId="0" fontId="18" fillId="2" borderId="1" xfId="0" applyFont="1" applyFill="1" applyBorder="1" applyAlignment="1">
      <alignment horizontal="justify" vertical="center" wrapText="1"/>
    </xf>
    <xf numFmtId="0" fontId="20" fillId="0" borderId="0" xfId="0" applyFont="1"/>
    <xf numFmtId="0" fontId="23" fillId="2" borderId="0" xfId="0" applyFont="1" applyFill="1"/>
    <xf numFmtId="0" fontId="10" fillId="2" borderId="1" xfId="0" applyFont="1" applyFill="1" applyBorder="1"/>
    <xf numFmtId="0" fontId="9" fillId="2" borderId="1" xfId="0" applyFont="1" applyFill="1" applyBorder="1"/>
    <xf numFmtId="0" fontId="8" fillId="2" borderId="1" xfId="0" applyFont="1" applyFill="1" applyBorder="1"/>
    <xf numFmtId="1" fontId="22" fillId="2" borderId="1" xfId="0" applyNumberFormat="1" applyFont="1" applyFill="1" applyBorder="1"/>
    <xf numFmtId="0" fontId="37" fillId="2" borderId="1" xfId="0" applyFont="1" applyFill="1" applyBorder="1" applyAlignment="1">
      <alignment wrapText="1"/>
    </xf>
    <xf numFmtId="14" fontId="22" fillId="2" borderId="10" xfId="0" applyNumberFormat="1" applyFont="1" applyFill="1" applyBorder="1" applyAlignment="1">
      <alignment wrapText="1"/>
    </xf>
    <xf numFmtId="14" fontId="22" fillId="2" borderId="1" xfId="0" applyNumberFormat="1" applyFont="1" applyFill="1" applyBorder="1" applyAlignment="1">
      <alignment wrapText="1"/>
    </xf>
    <xf numFmtId="0" fontId="9" fillId="2" borderId="10" xfId="0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0" fontId="18" fillId="2" borderId="12" xfId="0" applyFont="1" applyFill="1" applyBorder="1" applyAlignment="1">
      <alignment horizontal="justify" vertical="center" wrapText="1"/>
    </xf>
    <xf numFmtId="0" fontId="0" fillId="2" borderId="1" xfId="0" applyFill="1" applyBorder="1"/>
    <xf numFmtId="0" fontId="18" fillId="2" borderId="5" xfId="0" applyFont="1" applyFill="1" applyBorder="1" applyAlignment="1">
      <alignment horizontal="justify" vertical="center" wrapText="1"/>
    </xf>
    <xf numFmtId="0" fontId="23" fillId="2" borderId="1" xfId="0" applyFont="1" applyFill="1" applyBorder="1" applyAlignment="1">
      <alignment vertical="center" wrapText="1"/>
    </xf>
    <xf numFmtId="0" fontId="22" fillId="2" borderId="10" xfId="0" applyFont="1" applyFill="1" applyBorder="1" applyAlignment="1">
      <alignment vertical="top" wrapText="1"/>
    </xf>
    <xf numFmtId="0" fontId="23" fillId="2" borderId="1" xfId="0" applyFont="1" applyFill="1" applyBorder="1" applyAlignment="1">
      <alignment wrapText="1" shrinkToFit="1"/>
    </xf>
    <xf numFmtId="0" fontId="18" fillId="2" borderId="1" xfId="0" applyFont="1" applyFill="1" applyBorder="1" applyAlignment="1">
      <alignment vertical="top" wrapText="1"/>
    </xf>
    <xf numFmtId="0" fontId="30" fillId="2" borderId="1" xfId="0" applyFont="1" applyFill="1" applyBorder="1" applyAlignment="1">
      <alignment wrapText="1"/>
    </xf>
    <xf numFmtId="2" fontId="38" fillId="2" borderId="1" xfId="0" applyNumberFormat="1" applyFont="1" applyFill="1" applyBorder="1"/>
    <xf numFmtId="4" fontId="38" fillId="2" borderId="1" xfId="0" applyNumberFormat="1" applyFont="1" applyFill="1" applyBorder="1"/>
    <xf numFmtId="0" fontId="30" fillId="2" borderId="1" xfId="0" applyFont="1" applyFill="1" applyBorder="1"/>
    <xf numFmtId="49" fontId="31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wrapText="1"/>
    </xf>
    <xf numFmtId="4" fontId="33" fillId="2" borderId="1" xfId="0" applyNumberFormat="1" applyFont="1" applyFill="1" applyBorder="1"/>
    <xf numFmtId="0" fontId="40" fillId="2" borderId="1" xfId="0" applyFont="1" applyFill="1" applyBorder="1" applyAlignment="1">
      <alignment wrapText="1"/>
    </xf>
    <xf numFmtId="0" fontId="33" fillId="0" borderId="1" xfId="0" applyFont="1" applyFill="1" applyBorder="1"/>
    <xf numFmtId="0" fontId="34" fillId="0" borderId="10" xfId="0" applyFont="1" applyFill="1" applyBorder="1"/>
    <xf numFmtId="0" fontId="34" fillId="0" borderId="1" xfId="0" applyFont="1" applyFill="1" applyBorder="1"/>
    <xf numFmtId="1" fontId="34" fillId="0" borderId="10" xfId="0" applyNumberFormat="1" applyFont="1" applyFill="1" applyBorder="1"/>
    <xf numFmtId="0" fontId="34" fillId="0" borderId="10" xfId="0" applyFont="1" applyFill="1" applyBorder="1" applyAlignment="1">
      <alignment wrapText="1" shrinkToFit="1"/>
    </xf>
    <xf numFmtId="0" fontId="24" fillId="0" borderId="1" xfId="0" applyFont="1" applyFill="1" applyBorder="1"/>
    <xf numFmtId="0" fontId="35" fillId="0" borderId="1" xfId="0" applyFont="1" applyFill="1" applyBorder="1"/>
    <xf numFmtId="0" fontId="33" fillId="0" borderId="10" xfId="0" applyFont="1" applyFill="1" applyBorder="1" applyAlignment="1">
      <alignment wrapText="1"/>
    </xf>
    <xf numFmtId="0" fontId="33" fillId="0" borderId="1" xfId="0" applyFont="1" applyFill="1" applyBorder="1" applyAlignment="1">
      <alignment wrapText="1"/>
    </xf>
    <xf numFmtId="0" fontId="18" fillId="0" borderId="1" xfId="0" applyFont="1" applyBorder="1" applyAlignment="1">
      <alignment vertical="center" wrapText="1"/>
    </xf>
    <xf numFmtId="0" fontId="0" fillId="0" borderId="0" xfId="0" applyFill="1"/>
    <xf numFmtId="0" fontId="18" fillId="0" borderId="5" xfId="0" applyFont="1" applyFill="1" applyBorder="1" applyAlignment="1">
      <alignment horizontal="justify" vertical="center" wrapText="1"/>
    </xf>
    <xf numFmtId="0" fontId="22" fillId="0" borderId="1" xfId="0" applyFont="1" applyFill="1" applyBorder="1"/>
    <xf numFmtId="0" fontId="19" fillId="0" borderId="0" xfId="0" applyFont="1" applyFill="1"/>
    <xf numFmtId="0" fontId="23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top" wrapText="1"/>
    </xf>
    <xf numFmtId="0" fontId="23" fillId="0" borderId="1" xfId="0" applyFont="1" applyFill="1" applyBorder="1"/>
    <xf numFmtId="0" fontId="18" fillId="0" borderId="6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/>
    <xf numFmtId="0" fontId="18" fillId="0" borderId="1" xfId="0" applyFont="1" applyFill="1" applyBorder="1" applyAlignment="1">
      <alignment horizontal="justify" vertical="center" wrapText="1"/>
    </xf>
    <xf numFmtId="0" fontId="23" fillId="0" borderId="1" xfId="0" applyFont="1" applyFill="1" applyBorder="1" applyAlignment="1">
      <alignment wrapText="1" shrinkToFit="1"/>
    </xf>
    <xf numFmtId="0" fontId="22" fillId="0" borderId="1" xfId="0" applyFont="1" applyFill="1" applyBorder="1" applyAlignment="1">
      <alignment wrapText="1"/>
    </xf>
    <xf numFmtId="0" fontId="18" fillId="0" borderId="12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2" fontId="22" fillId="0" borderId="1" xfId="0" applyNumberFormat="1" applyFont="1" applyFill="1" applyBorder="1"/>
    <xf numFmtId="0" fontId="23" fillId="0" borderId="0" xfId="0" applyFont="1" applyFill="1"/>
    <xf numFmtId="0" fontId="7" fillId="0" borderId="1" xfId="0" applyFont="1" applyFill="1" applyBorder="1"/>
    <xf numFmtId="1" fontId="22" fillId="0" borderId="1" xfId="0" applyNumberFormat="1" applyFont="1" applyFill="1" applyBorder="1"/>
    <xf numFmtId="0" fontId="37" fillId="0" borderId="1" xfId="0" applyFont="1" applyFill="1" applyBorder="1" applyAlignment="1">
      <alignment wrapText="1"/>
    </xf>
    <xf numFmtId="14" fontId="22" fillId="0" borderId="10" xfId="0" applyNumberFormat="1" applyFont="1" applyFill="1" applyBorder="1" applyAlignment="1">
      <alignment wrapText="1"/>
    </xf>
    <xf numFmtId="0" fontId="22" fillId="0" borderId="9" xfId="0" applyFont="1" applyFill="1" applyBorder="1"/>
    <xf numFmtId="0" fontId="22" fillId="0" borderId="7" xfId="0" applyFont="1" applyFill="1" applyBorder="1"/>
    <xf numFmtId="0" fontId="18" fillId="0" borderId="1" xfId="0" applyFont="1" applyFill="1" applyBorder="1" applyAlignment="1">
      <alignment horizontal="justify" vertical="center"/>
    </xf>
    <xf numFmtId="0" fontId="18" fillId="0" borderId="1" xfId="0" applyFont="1" applyFill="1" applyBorder="1"/>
    <xf numFmtId="0" fontId="22" fillId="0" borderId="7" xfId="0" applyFont="1" applyFill="1" applyBorder="1" applyAlignment="1">
      <alignment wrapText="1"/>
    </xf>
    <xf numFmtId="2" fontId="22" fillId="0" borderId="7" xfId="0" applyNumberFormat="1" applyFont="1" applyFill="1" applyBorder="1"/>
    <xf numFmtId="0" fontId="22" fillId="0" borderId="8" xfId="0" applyFont="1" applyFill="1" applyBorder="1"/>
    <xf numFmtId="0" fontId="22" fillId="0" borderId="8" xfId="0" applyFont="1" applyFill="1" applyBorder="1" applyAlignment="1">
      <alignment vertical="top" wrapText="1"/>
    </xf>
    <xf numFmtId="0" fontId="0" fillId="0" borderId="1" xfId="0" applyFill="1" applyBorder="1"/>
    <xf numFmtId="0" fontId="18" fillId="0" borderId="0" xfId="0" applyFont="1" applyFill="1" applyAlignment="1">
      <alignment wrapText="1"/>
    </xf>
    <xf numFmtId="0" fontId="22" fillId="0" borderId="11" xfId="0" applyFont="1" applyFill="1" applyBorder="1"/>
    <xf numFmtId="0" fontId="18" fillId="0" borderId="0" xfId="0" applyFont="1" applyFill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164" fontId="22" fillId="0" borderId="1" xfId="0" applyNumberFormat="1" applyFont="1" applyFill="1" applyBorder="1"/>
    <xf numFmtId="0" fontId="5" fillId="0" borderId="10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wrapText="1" shrinkToFit="1"/>
    </xf>
    <xf numFmtId="0" fontId="41" fillId="0" borderId="1" xfId="0" applyFont="1" applyFill="1" applyBorder="1" applyAlignment="1">
      <alignment vertical="center" wrapText="1"/>
    </xf>
    <xf numFmtId="0" fontId="42" fillId="0" borderId="1" xfId="0" applyFont="1" applyFill="1" applyBorder="1" applyAlignment="1">
      <alignment vertical="top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30" fillId="0" borderId="1" xfId="0" applyFont="1" applyFill="1" applyBorder="1" applyAlignment="1">
      <alignment wrapText="1"/>
    </xf>
    <xf numFmtId="2" fontId="38" fillId="0" borderId="1" xfId="0" applyNumberFormat="1" applyFont="1" applyFill="1" applyBorder="1"/>
    <xf numFmtId="0" fontId="30" fillId="0" borderId="1" xfId="0" applyFont="1" applyFill="1" applyBorder="1"/>
    <xf numFmtId="49" fontId="31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wrapText="1"/>
    </xf>
    <xf numFmtId="4" fontId="33" fillId="0" borderId="1" xfId="0" applyNumberFormat="1" applyFont="1" applyFill="1" applyBorder="1"/>
    <xf numFmtId="0" fontId="40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7" fillId="0" borderId="1" xfId="0" applyFont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27" fillId="0" borderId="1" xfId="0" applyFont="1" applyBorder="1" applyAlignment="1">
      <alignment horizontal="left" wrapText="1"/>
    </xf>
    <xf numFmtId="0" fontId="27" fillId="0" borderId="12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7" fillId="2" borderId="1" xfId="0" applyFont="1" applyFill="1" applyBorder="1" applyAlignment="1">
      <alignment horizontal="left" vertical="center" wrapText="1"/>
    </xf>
    <xf numFmtId="0" fontId="24" fillId="2" borderId="13" xfId="0" applyFont="1" applyFill="1" applyBorder="1" applyAlignment="1"/>
    <xf numFmtId="0" fontId="22" fillId="0" borderId="14" xfId="0" applyFont="1" applyBorder="1" applyAlignment="1"/>
    <xf numFmtId="0" fontId="22" fillId="0" borderId="10" xfId="0" applyFont="1" applyBorder="1" applyAlignment="1"/>
    <xf numFmtId="0" fontId="22" fillId="2" borderId="14" xfId="0" applyFont="1" applyFill="1" applyBorder="1" applyAlignment="1"/>
    <xf numFmtId="0" fontId="22" fillId="2" borderId="10" xfId="0" applyFont="1" applyFill="1" applyBorder="1" applyAlignment="1"/>
    <xf numFmtId="4" fontId="31" fillId="2" borderId="13" xfId="0" applyNumberFormat="1" applyFont="1" applyFill="1" applyBorder="1" applyAlignment="1">
      <alignment horizontal="center"/>
    </xf>
    <xf numFmtId="4" fontId="31" fillId="2" borderId="14" xfId="0" applyNumberFormat="1" applyFont="1" applyFill="1" applyBorder="1" applyAlignment="1">
      <alignment horizontal="center"/>
    </xf>
    <xf numFmtId="4" fontId="31" fillId="2" borderId="10" xfId="0" applyNumberFormat="1" applyFont="1" applyFill="1" applyBorder="1" applyAlignment="1">
      <alignment horizontal="center"/>
    </xf>
    <xf numFmtId="0" fontId="27" fillId="2" borderId="12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/>
    <xf numFmtId="0" fontId="0" fillId="0" borderId="14" xfId="0" applyFill="1" applyBorder="1" applyAlignment="1"/>
    <xf numFmtId="0" fontId="0" fillId="0" borderId="10" xfId="0" applyFill="1" applyBorder="1" applyAlignment="1"/>
    <xf numFmtId="0" fontId="24" fillId="0" borderId="14" xfId="0" applyFont="1" applyFill="1" applyBorder="1" applyAlignment="1"/>
    <xf numFmtId="0" fontId="24" fillId="0" borderId="14" xfId="0" applyFont="1" applyBorder="1" applyAlignment="1"/>
    <xf numFmtId="0" fontId="24" fillId="0" borderId="10" xfId="0" applyFont="1" applyBorder="1" applyAlignment="1"/>
    <xf numFmtId="4" fontId="31" fillId="0" borderId="13" xfId="0" applyNumberFormat="1" applyFont="1" applyFill="1" applyBorder="1" applyAlignment="1">
      <alignment horizontal="center"/>
    </xf>
    <xf numFmtId="4" fontId="31" fillId="0" borderId="14" xfId="0" applyNumberFormat="1" applyFont="1" applyFill="1" applyBorder="1" applyAlignment="1">
      <alignment horizontal="center"/>
    </xf>
    <xf numFmtId="4" fontId="31" fillId="0" borderId="1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opLeftCell="B1" zoomScale="85" zoomScaleNormal="85" workbookViewId="0">
      <pane ySplit="2" topLeftCell="A8" activePane="bottomLeft" state="frozen"/>
      <selection pane="bottomLeft" activeCell="E13" sqref="E13"/>
    </sheetView>
  </sheetViews>
  <sheetFormatPr defaultRowHeight="15" x14ac:dyDescent="0.25"/>
  <cols>
    <col min="1" max="1" width="1.5703125" customWidth="1"/>
    <col min="2" max="2" width="60.5703125" customWidth="1"/>
    <col min="3" max="3" width="26.42578125" customWidth="1"/>
    <col min="4" max="7" width="23.140625" customWidth="1"/>
  </cols>
  <sheetData>
    <row r="1" spans="2:8" ht="61.5" customHeight="1" x14ac:dyDescent="0.25">
      <c r="B1" s="208" t="s">
        <v>7</v>
      </c>
      <c r="C1" s="208"/>
      <c r="D1" s="208"/>
      <c r="E1" s="208"/>
      <c r="F1" s="208"/>
      <c r="G1" s="208"/>
    </row>
    <row r="2" spans="2:8" ht="32.25" x14ac:dyDescent="0.3">
      <c r="B2" s="9" t="s">
        <v>0</v>
      </c>
      <c r="C2" s="7" t="s">
        <v>1</v>
      </c>
      <c r="D2" s="61" t="s">
        <v>2</v>
      </c>
      <c r="E2" s="62" t="s">
        <v>3</v>
      </c>
      <c r="F2" s="62" t="s">
        <v>4</v>
      </c>
      <c r="G2" s="62" t="s">
        <v>5</v>
      </c>
      <c r="H2" s="1"/>
    </row>
    <row r="3" spans="2:8" ht="18.75" x14ac:dyDescent="0.3">
      <c r="B3" s="209" t="s">
        <v>120</v>
      </c>
      <c r="C3" s="209"/>
      <c r="D3" s="209"/>
      <c r="E3" s="209"/>
      <c r="F3" s="209"/>
      <c r="G3" s="209"/>
      <c r="H3" s="1"/>
    </row>
    <row r="4" spans="2:8" ht="31.5" x14ac:dyDescent="0.3">
      <c r="B4" s="2" t="s">
        <v>31</v>
      </c>
      <c r="C4" s="8">
        <f>20*79.3/100</f>
        <v>15.86</v>
      </c>
      <c r="D4" s="16">
        <f>20*0.52/100</f>
        <v>0.10400000000000001</v>
      </c>
      <c r="E4" s="16">
        <f>20*94/100</f>
        <v>18.8</v>
      </c>
      <c r="F4" s="16">
        <f>20*98.5/100</f>
        <v>19.7</v>
      </c>
      <c r="G4" s="16">
        <f>20*99.9/100</f>
        <v>19.98</v>
      </c>
      <c r="H4" s="1"/>
    </row>
    <row r="5" spans="2:8" ht="18.75" x14ac:dyDescent="0.3">
      <c r="B5" s="11" t="s">
        <v>6</v>
      </c>
      <c r="C5" s="55" t="s">
        <v>65</v>
      </c>
      <c r="D5" s="55" t="s">
        <v>80</v>
      </c>
      <c r="E5" s="63" t="s">
        <v>91</v>
      </c>
      <c r="F5" s="63" t="s">
        <v>92</v>
      </c>
      <c r="G5" s="63" t="s">
        <v>102</v>
      </c>
      <c r="H5" s="1"/>
    </row>
    <row r="6" spans="2:8" ht="18.75" x14ac:dyDescent="0.3">
      <c r="B6" s="12" t="s">
        <v>119</v>
      </c>
      <c r="C6" s="16">
        <f>25*C4/100</f>
        <v>3.9649999999999999</v>
      </c>
      <c r="D6" s="16">
        <f>25*D4/100</f>
        <v>2.6000000000000002E-2</v>
      </c>
      <c r="E6" s="16">
        <f>25*E4/100</f>
        <v>4.7</v>
      </c>
      <c r="F6" s="16">
        <f>25*F4/100</f>
        <v>4.9249999999999998</v>
      </c>
      <c r="G6" s="16">
        <f>25*G4/100</f>
        <v>4.9950000000000001</v>
      </c>
      <c r="H6" s="1"/>
    </row>
    <row r="7" spans="2:8" ht="63" x14ac:dyDescent="0.3">
      <c r="B7" s="2" t="s">
        <v>32</v>
      </c>
      <c r="C7" s="8">
        <f>20*1.3/100</f>
        <v>0.26</v>
      </c>
      <c r="D7" s="17">
        <f>20*0%/100</f>
        <v>0</v>
      </c>
      <c r="E7" s="17">
        <f>20*0%/100</f>
        <v>0</v>
      </c>
      <c r="F7" s="8">
        <f>20*84.8/100</f>
        <v>16.96</v>
      </c>
      <c r="G7" s="8">
        <f>20*74.6/100</f>
        <v>14.92</v>
      </c>
      <c r="H7" s="1"/>
    </row>
    <row r="8" spans="2:8" ht="48" x14ac:dyDescent="0.3">
      <c r="B8" s="11" t="s">
        <v>6</v>
      </c>
      <c r="C8" s="8" t="s">
        <v>66</v>
      </c>
      <c r="D8" s="17" t="s">
        <v>81</v>
      </c>
      <c r="E8" s="17" t="s">
        <v>81</v>
      </c>
      <c r="F8" s="8" t="s">
        <v>93</v>
      </c>
      <c r="G8" s="63" t="s">
        <v>103</v>
      </c>
      <c r="H8" s="1"/>
    </row>
    <row r="9" spans="2:8" ht="18.75" x14ac:dyDescent="0.3">
      <c r="B9" s="12" t="s">
        <v>119</v>
      </c>
      <c r="C9" s="16">
        <f>25*C7/100</f>
        <v>6.5000000000000002E-2</v>
      </c>
      <c r="D9" s="8">
        <f>25*D7/100</f>
        <v>0</v>
      </c>
      <c r="E9" s="8">
        <f>25*E7/100</f>
        <v>0</v>
      </c>
      <c r="F9" s="8">
        <f>25*F7/100</f>
        <v>4.24</v>
      </c>
      <c r="G9" s="8">
        <f>25*G7/100</f>
        <v>3.73</v>
      </c>
      <c r="H9" s="1"/>
    </row>
    <row r="10" spans="2:8" ht="63" x14ac:dyDescent="0.3">
      <c r="B10" s="6" t="s">
        <v>33</v>
      </c>
      <c r="C10" s="8">
        <f>20*1.3/100</f>
        <v>0.26</v>
      </c>
      <c r="D10" s="8">
        <f>20*0/100</f>
        <v>0</v>
      </c>
      <c r="E10" s="8">
        <f>20*0/100</f>
        <v>0</v>
      </c>
      <c r="F10" s="63">
        <f>20*94.2/100</f>
        <v>18.84</v>
      </c>
      <c r="G10" s="63">
        <f>20*99.2/100</f>
        <v>19.84</v>
      </c>
      <c r="H10" s="1"/>
    </row>
    <row r="11" spans="2:8" ht="18.75" x14ac:dyDescent="0.3">
      <c r="B11" s="12" t="s">
        <v>6</v>
      </c>
      <c r="C11" s="20" t="s">
        <v>66</v>
      </c>
      <c r="D11" s="56" t="s">
        <v>82</v>
      </c>
      <c r="E11" s="56" t="s">
        <v>82</v>
      </c>
      <c r="F11" s="63" t="s">
        <v>94</v>
      </c>
      <c r="G11" s="64" t="s">
        <v>114</v>
      </c>
      <c r="H11" s="1"/>
    </row>
    <row r="12" spans="2:8" ht="18.75" x14ac:dyDescent="0.3">
      <c r="B12" s="12" t="s">
        <v>119</v>
      </c>
      <c r="C12" s="57">
        <f>25*C10/100</f>
        <v>6.5000000000000002E-2</v>
      </c>
      <c r="D12" s="8">
        <f>25*D10/100</f>
        <v>0</v>
      </c>
      <c r="E12" s="8">
        <f>25*E10/100</f>
        <v>0</v>
      </c>
      <c r="F12" s="8">
        <f>25*F10/100</f>
        <v>4.71</v>
      </c>
      <c r="G12" s="8">
        <f>25*G10/100</f>
        <v>4.96</v>
      </c>
      <c r="H12" s="1"/>
    </row>
    <row r="13" spans="2:8" ht="47.25" x14ac:dyDescent="0.3">
      <c r="B13" s="2" t="s">
        <v>34</v>
      </c>
      <c r="C13" s="58">
        <f>0.5*20</f>
        <v>10</v>
      </c>
      <c r="D13" s="58">
        <f>0.5*20</f>
        <v>10</v>
      </c>
      <c r="E13" s="8">
        <f>1*20</f>
        <v>20</v>
      </c>
      <c r="F13" s="8">
        <f>1*20</f>
        <v>20</v>
      </c>
      <c r="G13" s="8">
        <f>0*20</f>
        <v>0</v>
      </c>
      <c r="H13" s="1"/>
    </row>
    <row r="14" spans="2:8" ht="18.75" x14ac:dyDescent="0.3">
      <c r="B14" s="12" t="s">
        <v>8</v>
      </c>
      <c r="C14" s="24" t="s">
        <v>95</v>
      </c>
      <c r="D14" s="24" t="s">
        <v>95</v>
      </c>
      <c r="E14" s="8" t="s">
        <v>96</v>
      </c>
      <c r="F14" s="23" t="s">
        <v>104</v>
      </c>
      <c r="G14" s="8" t="s">
        <v>105</v>
      </c>
      <c r="H14" s="1"/>
    </row>
    <row r="15" spans="2:8" ht="18.75" x14ac:dyDescent="0.3">
      <c r="B15" s="12" t="s">
        <v>119</v>
      </c>
      <c r="C15" s="18">
        <f>25*C13/100</f>
        <v>2.5</v>
      </c>
      <c r="D15" s="18">
        <f>25*D13/100</f>
        <v>2.5</v>
      </c>
      <c r="E15" s="18">
        <f>25*E13/100</f>
        <v>5</v>
      </c>
      <c r="F15" s="18">
        <f t="shared" ref="F15:G15" si="0">25*F13/100</f>
        <v>5</v>
      </c>
      <c r="G15" s="18">
        <f t="shared" si="0"/>
        <v>0</v>
      </c>
      <c r="H15" s="1"/>
    </row>
    <row r="16" spans="2:8" ht="31.5" x14ac:dyDescent="0.3">
      <c r="B16" s="2" t="s">
        <v>35</v>
      </c>
      <c r="C16" s="19">
        <f>1*20*98.3/100</f>
        <v>19.66</v>
      </c>
      <c r="D16" s="19">
        <f>1*20*89/100</f>
        <v>17.8</v>
      </c>
      <c r="E16" s="19">
        <f>1*20*95.7/100</f>
        <v>19.14</v>
      </c>
      <c r="F16" s="19">
        <f>1*20*97.9/100</f>
        <v>19.579999999999998</v>
      </c>
      <c r="G16" s="19">
        <f>1*20*100/100</f>
        <v>20</v>
      </c>
      <c r="H16" s="1"/>
    </row>
    <row r="17" spans="2:8" ht="18.75" x14ac:dyDescent="0.3">
      <c r="B17" s="12" t="s">
        <v>6</v>
      </c>
      <c r="C17" s="58" t="s">
        <v>107</v>
      </c>
      <c r="D17" s="59" t="s">
        <v>106</v>
      </c>
      <c r="E17" s="59" t="s">
        <v>108</v>
      </c>
      <c r="F17" s="8" t="s">
        <v>97</v>
      </c>
      <c r="G17" s="59" t="s">
        <v>113</v>
      </c>
      <c r="H17" s="1"/>
    </row>
    <row r="18" spans="2:8" ht="18.75" x14ac:dyDescent="0.3">
      <c r="B18" s="12" t="s">
        <v>119</v>
      </c>
      <c r="C18" s="16">
        <f>25*C16/100</f>
        <v>4.915</v>
      </c>
      <c r="D18" s="16">
        <f t="shared" ref="D18:F18" si="1">25*D16/100</f>
        <v>4.45</v>
      </c>
      <c r="E18" s="16">
        <f t="shared" si="1"/>
        <v>4.7850000000000001</v>
      </c>
      <c r="F18" s="16">
        <f t="shared" si="1"/>
        <v>4.8949999999999996</v>
      </c>
      <c r="G18" s="16">
        <f>25*G16/100</f>
        <v>5</v>
      </c>
      <c r="H18" s="1"/>
    </row>
    <row r="19" spans="2:8" ht="18.75" x14ac:dyDescent="0.3">
      <c r="B19" s="210" t="s">
        <v>121</v>
      </c>
      <c r="C19" s="211"/>
      <c r="D19" s="211"/>
      <c r="E19" s="211"/>
      <c r="F19" s="211"/>
      <c r="G19" s="212"/>
      <c r="H19" s="1"/>
    </row>
    <row r="20" spans="2:8" ht="48" x14ac:dyDescent="0.3">
      <c r="B20" s="2" t="s">
        <v>36</v>
      </c>
      <c r="C20" s="25" t="s">
        <v>109</v>
      </c>
      <c r="D20" s="17" t="s">
        <v>110</v>
      </c>
      <c r="E20" s="17" t="s">
        <v>111</v>
      </c>
      <c r="F20" s="17" t="s">
        <v>98</v>
      </c>
      <c r="G20" s="33" t="s">
        <v>112</v>
      </c>
      <c r="H20" s="1"/>
    </row>
    <row r="21" spans="2:8" ht="60.75" x14ac:dyDescent="0.3">
      <c r="B21" s="12" t="s">
        <v>9</v>
      </c>
      <c r="C21" s="26" t="s">
        <v>13</v>
      </c>
      <c r="D21" s="27" t="s">
        <v>12</v>
      </c>
      <c r="E21" s="27" t="s">
        <v>11</v>
      </c>
      <c r="F21" s="27" t="s">
        <v>14</v>
      </c>
      <c r="G21" s="27" t="s">
        <v>10</v>
      </c>
      <c r="H21" s="1"/>
    </row>
    <row r="22" spans="2:8" ht="18.75" x14ac:dyDescent="0.3">
      <c r="B22" s="12" t="s">
        <v>119</v>
      </c>
      <c r="C22" s="59">
        <f>25*20/100</f>
        <v>5</v>
      </c>
      <c r="D22" s="59">
        <f>25*20/100</f>
        <v>5</v>
      </c>
      <c r="E22" s="59">
        <f>25*10/100</f>
        <v>2.5</v>
      </c>
      <c r="F22" s="59">
        <f>25*20/100</f>
        <v>5</v>
      </c>
      <c r="G22" s="59">
        <f>25*10/100</f>
        <v>2.5</v>
      </c>
      <c r="H22" s="1"/>
    </row>
    <row r="23" spans="2:8" ht="47.25" x14ac:dyDescent="0.3">
      <c r="B23" s="4" t="s">
        <v>37</v>
      </c>
      <c r="C23" s="17" t="s">
        <v>83</v>
      </c>
      <c r="D23" s="17" t="s">
        <v>67</v>
      </c>
      <c r="E23" s="17" t="s">
        <v>67</v>
      </c>
      <c r="F23" s="17" t="s">
        <v>67</v>
      </c>
      <c r="G23" s="17">
        <f>10*15.3/100</f>
        <v>1.53</v>
      </c>
      <c r="H23" s="1"/>
    </row>
    <row r="24" spans="2:8" ht="48" x14ac:dyDescent="0.3">
      <c r="B24" s="11" t="s">
        <v>6</v>
      </c>
      <c r="C24" s="17" t="s">
        <v>15</v>
      </c>
      <c r="D24" s="17" t="s">
        <v>15</v>
      </c>
      <c r="E24" s="17" t="s">
        <v>15</v>
      </c>
      <c r="F24" s="17" t="s">
        <v>15</v>
      </c>
      <c r="G24" s="17" t="s">
        <v>20</v>
      </c>
      <c r="H24" s="1"/>
    </row>
    <row r="25" spans="2:8" ht="18.75" x14ac:dyDescent="0.3">
      <c r="B25" s="12" t="s">
        <v>119</v>
      </c>
      <c r="C25" s="59">
        <f>0*25/100</f>
        <v>0</v>
      </c>
      <c r="D25" s="59">
        <f t="shared" ref="D25:F25" si="2">0*25/100</f>
        <v>0</v>
      </c>
      <c r="E25" s="59">
        <f t="shared" si="2"/>
        <v>0</v>
      </c>
      <c r="F25" s="59">
        <f t="shared" si="2"/>
        <v>0</v>
      </c>
      <c r="G25" s="66">
        <f>G23*25/100</f>
        <v>0.38250000000000001</v>
      </c>
      <c r="H25" s="1"/>
    </row>
    <row r="26" spans="2:8" ht="47.25" x14ac:dyDescent="0.3">
      <c r="B26" s="65" t="s">
        <v>38</v>
      </c>
      <c r="C26" s="59">
        <f>10*100/100</f>
        <v>10</v>
      </c>
      <c r="D26" s="17" t="s">
        <v>67</v>
      </c>
      <c r="E26" s="17" t="s">
        <v>67</v>
      </c>
      <c r="F26" s="8">
        <f>10*100/100</f>
        <v>10</v>
      </c>
      <c r="G26" s="8">
        <f>10*84.7/100</f>
        <v>8.4700000000000006</v>
      </c>
      <c r="H26" s="1"/>
    </row>
    <row r="27" spans="2:8" ht="48" x14ac:dyDescent="0.3">
      <c r="B27" s="12" t="s">
        <v>6</v>
      </c>
      <c r="C27" s="8" t="s">
        <v>17</v>
      </c>
      <c r="D27" s="17" t="s">
        <v>16</v>
      </c>
      <c r="E27" s="17" t="s">
        <v>16</v>
      </c>
      <c r="F27" s="17" t="s">
        <v>18</v>
      </c>
      <c r="G27" s="17" t="s">
        <v>19</v>
      </c>
      <c r="H27" s="1"/>
    </row>
    <row r="28" spans="2:8" ht="18.75" x14ac:dyDescent="0.3">
      <c r="B28" s="12" t="s">
        <v>119</v>
      </c>
      <c r="C28" s="8">
        <f>10*25/100</f>
        <v>2.5</v>
      </c>
      <c r="D28" s="8">
        <f>0*25/100</f>
        <v>0</v>
      </c>
      <c r="E28" s="8">
        <f>0*25/100</f>
        <v>0</v>
      </c>
      <c r="F28" s="8">
        <f>F26*25/100</f>
        <v>2.5</v>
      </c>
      <c r="G28" s="16">
        <f>G26*25/100</f>
        <v>2.1175000000000002</v>
      </c>
      <c r="H28" s="1"/>
    </row>
    <row r="29" spans="2:8" ht="18.75" x14ac:dyDescent="0.3">
      <c r="B29" s="5" t="s">
        <v>39</v>
      </c>
      <c r="C29" s="8" t="s">
        <v>67</v>
      </c>
      <c r="D29" s="8" t="s">
        <v>67</v>
      </c>
      <c r="E29" s="8" t="s">
        <v>67</v>
      </c>
      <c r="F29" s="59" t="s">
        <v>67</v>
      </c>
      <c r="G29" s="8" t="s">
        <v>67</v>
      </c>
      <c r="H29" s="1"/>
    </row>
    <row r="30" spans="2:8" ht="32.25" x14ac:dyDescent="0.3">
      <c r="B30" s="12" t="s">
        <v>6</v>
      </c>
      <c r="C30" s="28" t="s">
        <v>21</v>
      </c>
      <c r="D30" s="28" t="s">
        <v>21</v>
      </c>
      <c r="E30" s="28" t="s">
        <v>21</v>
      </c>
      <c r="F30" s="28" t="s">
        <v>21</v>
      </c>
      <c r="G30" s="28" t="s">
        <v>21</v>
      </c>
      <c r="H30" s="1"/>
    </row>
    <row r="31" spans="2:8" ht="18.75" x14ac:dyDescent="0.3">
      <c r="B31" s="12" t="s">
        <v>119</v>
      </c>
      <c r="C31" s="19">
        <f>0*25/100</f>
        <v>0</v>
      </c>
      <c r="D31" s="19">
        <f t="shared" ref="D31:G31" si="3">0*25/100</f>
        <v>0</v>
      </c>
      <c r="E31" s="19">
        <f t="shared" si="3"/>
        <v>0</v>
      </c>
      <c r="F31" s="19">
        <f t="shared" si="3"/>
        <v>0</v>
      </c>
      <c r="G31" s="19">
        <f t="shared" si="3"/>
        <v>0</v>
      </c>
      <c r="H31" s="1"/>
    </row>
    <row r="32" spans="2:8" ht="47.25" x14ac:dyDescent="0.3">
      <c r="B32" s="6" t="s">
        <v>40</v>
      </c>
      <c r="C32" s="19">
        <f>1*20</f>
        <v>20</v>
      </c>
      <c r="D32" s="19">
        <f t="shared" ref="D32:G32" si="4">1*20</f>
        <v>20</v>
      </c>
      <c r="E32" s="19">
        <f t="shared" si="4"/>
        <v>20</v>
      </c>
      <c r="F32" s="19">
        <f t="shared" si="4"/>
        <v>20</v>
      </c>
      <c r="G32" s="19">
        <f t="shared" si="4"/>
        <v>20</v>
      </c>
      <c r="H32" s="1"/>
    </row>
    <row r="33" spans="2:8" ht="48" x14ac:dyDescent="0.3">
      <c r="B33" s="12" t="s">
        <v>6</v>
      </c>
      <c r="C33" s="28" t="s">
        <v>68</v>
      </c>
      <c r="D33" s="60" t="s">
        <v>84</v>
      </c>
      <c r="E33" s="60" t="s">
        <v>84</v>
      </c>
      <c r="F33" s="28" t="s">
        <v>84</v>
      </c>
      <c r="G33" s="60" t="s">
        <v>84</v>
      </c>
      <c r="H33" s="1"/>
    </row>
    <row r="34" spans="2:8" ht="18.75" x14ac:dyDescent="0.3">
      <c r="B34" s="12" t="s">
        <v>119</v>
      </c>
      <c r="C34" s="19">
        <f>25*C32/100</f>
        <v>5</v>
      </c>
      <c r="D34" s="19">
        <f t="shared" ref="D34:G34" si="5">25*D32/100</f>
        <v>5</v>
      </c>
      <c r="E34" s="19">
        <f t="shared" si="5"/>
        <v>5</v>
      </c>
      <c r="F34" s="19">
        <f t="shared" si="5"/>
        <v>5</v>
      </c>
      <c r="G34" s="19">
        <f t="shared" si="5"/>
        <v>5</v>
      </c>
      <c r="H34" s="1"/>
    </row>
    <row r="35" spans="2:8" ht="47.25" x14ac:dyDescent="0.3">
      <c r="B35" s="2" t="s">
        <v>41</v>
      </c>
      <c r="C35" s="8">
        <f>1*20</f>
        <v>20</v>
      </c>
      <c r="D35" s="8">
        <f t="shared" ref="D35:G35" si="6">1*20</f>
        <v>20</v>
      </c>
      <c r="E35" s="8">
        <f t="shared" si="6"/>
        <v>20</v>
      </c>
      <c r="F35" s="8">
        <f t="shared" si="6"/>
        <v>20</v>
      </c>
      <c r="G35" s="8">
        <f t="shared" si="6"/>
        <v>20</v>
      </c>
      <c r="H35" s="1"/>
    </row>
    <row r="36" spans="2:8" ht="48" x14ac:dyDescent="0.3">
      <c r="B36" s="11" t="s">
        <v>6</v>
      </c>
      <c r="C36" s="28" t="s">
        <v>69</v>
      </c>
      <c r="D36" s="28" t="s">
        <v>69</v>
      </c>
      <c r="E36" s="28" t="s">
        <v>69</v>
      </c>
      <c r="F36" s="17" t="s">
        <v>69</v>
      </c>
      <c r="G36" s="28" t="s">
        <v>69</v>
      </c>
      <c r="H36" s="1"/>
    </row>
    <row r="37" spans="2:8" ht="18.75" x14ac:dyDescent="0.3">
      <c r="B37" s="12" t="s">
        <v>119</v>
      </c>
      <c r="C37" s="8">
        <f>25*C35/100</f>
        <v>5</v>
      </c>
      <c r="D37" s="8">
        <f t="shared" ref="D37:G37" si="7">25*D35/100</f>
        <v>5</v>
      </c>
      <c r="E37" s="8">
        <f t="shared" si="7"/>
        <v>5</v>
      </c>
      <c r="F37" s="8">
        <f t="shared" si="7"/>
        <v>5</v>
      </c>
      <c r="G37" s="8">
        <f t="shared" si="7"/>
        <v>5</v>
      </c>
      <c r="H37" s="1"/>
    </row>
    <row r="38" spans="2:8" ht="18.75" x14ac:dyDescent="0.3">
      <c r="B38" s="207" t="s">
        <v>122</v>
      </c>
      <c r="C38" s="207"/>
      <c r="D38" s="207"/>
      <c r="E38" s="207"/>
      <c r="F38" s="207"/>
      <c r="G38" s="207"/>
      <c r="H38" s="1"/>
    </row>
    <row r="39" spans="2:8" ht="63" x14ac:dyDescent="0.3">
      <c r="B39" s="6" t="s">
        <v>42</v>
      </c>
      <c r="C39" s="21">
        <f>1*35</f>
        <v>35</v>
      </c>
      <c r="D39" s="21">
        <f t="shared" ref="D39:G39" si="8">1*35</f>
        <v>35</v>
      </c>
      <c r="E39" s="21">
        <f t="shared" si="8"/>
        <v>35</v>
      </c>
      <c r="F39" s="21">
        <f t="shared" si="8"/>
        <v>35</v>
      </c>
      <c r="G39" s="21">
        <f t="shared" si="8"/>
        <v>35</v>
      </c>
      <c r="H39" s="1"/>
    </row>
    <row r="40" spans="2:8" ht="63" customHeight="1" x14ac:dyDescent="0.3">
      <c r="B40" s="12" t="s">
        <v>6</v>
      </c>
      <c r="C40" s="29" t="s">
        <v>70</v>
      </c>
      <c r="D40" s="29" t="s">
        <v>70</v>
      </c>
      <c r="E40" s="29" t="s">
        <v>70</v>
      </c>
      <c r="F40" s="29" t="s">
        <v>70</v>
      </c>
      <c r="G40" s="29" t="s">
        <v>70</v>
      </c>
      <c r="H40" s="1"/>
    </row>
    <row r="41" spans="2:8" ht="18.75" x14ac:dyDescent="0.3">
      <c r="B41" s="12" t="s">
        <v>119</v>
      </c>
      <c r="C41" s="21">
        <f>16*C39/100</f>
        <v>5.6</v>
      </c>
      <c r="D41" s="21">
        <f t="shared" ref="D41:G41" si="9">16*D39/100</f>
        <v>5.6</v>
      </c>
      <c r="E41" s="21">
        <f t="shared" si="9"/>
        <v>5.6</v>
      </c>
      <c r="F41" s="21">
        <f t="shared" si="9"/>
        <v>5.6</v>
      </c>
      <c r="G41" s="21">
        <f t="shared" si="9"/>
        <v>5.6</v>
      </c>
      <c r="H41" s="1"/>
    </row>
    <row r="42" spans="2:8" ht="47.25" x14ac:dyDescent="0.3">
      <c r="B42" s="30" t="s">
        <v>43</v>
      </c>
      <c r="C42" s="31">
        <f>1*35</f>
        <v>35</v>
      </c>
      <c r="D42" s="31">
        <f t="shared" ref="D42:G42" si="10">1*35</f>
        <v>35</v>
      </c>
      <c r="E42" s="31">
        <f t="shared" si="10"/>
        <v>35</v>
      </c>
      <c r="F42" s="31">
        <f t="shared" si="10"/>
        <v>35</v>
      </c>
      <c r="G42" s="31">
        <f t="shared" si="10"/>
        <v>35</v>
      </c>
      <c r="H42" s="1"/>
    </row>
    <row r="43" spans="2:8" ht="48" x14ac:dyDescent="0.3">
      <c r="B43" s="12" t="s">
        <v>6</v>
      </c>
      <c r="C43" s="17" t="s">
        <v>71</v>
      </c>
      <c r="D43" s="17" t="s">
        <v>71</v>
      </c>
      <c r="E43" s="17" t="s">
        <v>71</v>
      </c>
      <c r="F43" s="17" t="s">
        <v>71</v>
      </c>
      <c r="G43" s="17" t="s">
        <v>71</v>
      </c>
      <c r="H43" s="1"/>
    </row>
    <row r="44" spans="2:8" ht="18.75" x14ac:dyDescent="0.3">
      <c r="B44" s="12" t="s">
        <v>119</v>
      </c>
      <c r="C44" s="20">
        <f>16*C42/100</f>
        <v>5.6</v>
      </c>
      <c r="D44" s="20">
        <f t="shared" ref="D44:G44" si="11">16*D42/100</f>
        <v>5.6</v>
      </c>
      <c r="E44" s="20">
        <f t="shared" si="11"/>
        <v>5.6</v>
      </c>
      <c r="F44" s="20">
        <f t="shared" si="11"/>
        <v>5.6</v>
      </c>
      <c r="G44" s="20">
        <f t="shared" si="11"/>
        <v>5.6</v>
      </c>
      <c r="H44" s="1"/>
    </row>
    <row r="45" spans="2:8" ht="47.25" x14ac:dyDescent="0.3">
      <c r="B45" s="2" t="s">
        <v>44</v>
      </c>
      <c r="C45" s="20">
        <f>0*15</f>
        <v>0</v>
      </c>
      <c r="D45" s="20">
        <f t="shared" ref="D45:G45" si="12">0*15</f>
        <v>0</v>
      </c>
      <c r="E45" s="20">
        <f t="shared" si="12"/>
        <v>0</v>
      </c>
      <c r="F45" s="20">
        <f t="shared" si="12"/>
        <v>0</v>
      </c>
      <c r="G45" s="20">
        <f t="shared" si="12"/>
        <v>0</v>
      </c>
      <c r="H45" s="1"/>
    </row>
    <row r="46" spans="2:8" ht="95.25" x14ac:dyDescent="0.3">
      <c r="B46" s="12" t="s">
        <v>6</v>
      </c>
      <c r="C46" s="32" t="s">
        <v>72</v>
      </c>
      <c r="D46" s="17" t="s">
        <v>72</v>
      </c>
      <c r="E46" s="32" t="s">
        <v>72</v>
      </c>
      <c r="F46" s="17" t="s">
        <v>72</v>
      </c>
      <c r="G46" s="32" t="s">
        <v>72</v>
      </c>
      <c r="H46" s="1"/>
    </row>
    <row r="47" spans="2:8" ht="18.75" x14ac:dyDescent="0.3">
      <c r="B47" s="12" t="s">
        <v>119</v>
      </c>
      <c r="C47" s="8">
        <f>16*C45/100</f>
        <v>0</v>
      </c>
      <c r="D47" s="8">
        <f t="shared" ref="D47:G47" si="13">16*D45/100</f>
        <v>0</v>
      </c>
      <c r="E47" s="8">
        <f t="shared" si="13"/>
        <v>0</v>
      </c>
      <c r="F47" s="8">
        <f t="shared" si="13"/>
        <v>0</v>
      </c>
      <c r="G47" s="8">
        <f t="shared" si="13"/>
        <v>0</v>
      </c>
      <c r="H47" s="1"/>
    </row>
    <row r="48" spans="2:8" ht="78.75" x14ac:dyDescent="0.3">
      <c r="B48" s="6" t="s">
        <v>45</v>
      </c>
      <c r="C48" s="8">
        <f>1*15</f>
        <v>15</v>
      </c>
      <c r="D48" s="8">
        <f t="shared" ref="D48:G48" si="14">1*15</f>
        <v>15</v>
      </c>
      <c r="E48" s="8">
        <f t="shared" si="14"/>
        <v>15</v>
      </c>
      <c r="F48" s="8">
        <f t="shared" si="14"/>
        <v>15</v>
      </c>
      <c r="G48" s="8">
        <f t="shared" si="14"/>
        <v>15</v>
      </c>
      <c r="H48" s="1"/>
    </row>
    <row r="49" spans="1:8" ht="32.25" x14ac:dyDescent="0.3">
      <c r="B49" s="12" t="s">
        <v>6</v>
      </c>
      <c r="C49" s="17" t="s">
        <v>73</v>
      </c>
      <c r="D49" s="17" t="s">
        <v>73</v>
      </c>
      <c r="E49" s="17" t="s">
        <v>73</v>
      </c>
      <c r="F49" s="17" t="s">
        <v>73</v>
      </c>
      <c r="G49" s="17" t="s">
        <v>73</v>
      </c>
      <c r="H49" s="1"/>
    </row>
    <row r="50" spans="1:8" ht="18.75" x14ac:dyDescent="0.3">
      <c r="B50" s="12" t="s">
        <v>119</v>
      </c>
      <c r="C50" s="8">
        <f>16*C48/100</f>
        <v>2.4</v>
      </c>
      <c r="D50" s="8">
        <f t="shared" ref="D50:G50" si="15">16*D48/100</f>
        <v>2.4</v>
      </c>
      <c r="E50" s="8">
        <f t="shared" si="15"/>
        <v>2.4</v>
      </c>
      <c r="F50" s="8">
        <f t="shared" si="15"/>
        <v>2.4</v>
      </c>
      <c r="G50" s="8">
        <f t="shared" si="15"/>
        <v>2.4</v>
      </c>
      <c r="H50" s="1"/>
    </row>
    <row r="51" spans="1:8" ht="19.5" thickBot="1" x14ac:dyDescent="0.35">
      <c r="B51" s="213" t="s">
        <v>123</v>
      </c>
      <c r="C51" s="211"/>
      <c r="D51" s="211"/>
      <c r="E51" s="211"/>
      <c r="F51" s="211"/>
      <c r="G51" s="212"/>
      <c r="H51" s="1"/>
    </row>
    <row r="52" spans="1:8" ht="31.5" x14ac:dyDescent="0.3">
      <c r="B52" s="3" t="s">
        <v>46</v>
      </c>
      <c r="C52" s="8">
        <f>1*10</f>
        <v>10</v>
      </c>
      <c r="D52" s="8">
        <f t="shared" ref="D52:E52" si="16">1*10</f>
        <v>10</v>
      </c>
      <c r="E52" s="8">
        <f t="shared" si="16"/>
        <v>10</v>
      </c>
      <c r="F52" s="8">
        <f>0*10</f>
        <v>0</v>
      </c>
      <c r="G52" s="8">
        <f>0*10</f>
        <v>0</v>
      </c>
      <c r="H52" s="1"/>
    </row>
    <row r="53" spans="1:8" ht="78.75" x14ac:dyDescent="0.3">
      <c r="B53" s="12" t="s">
        <v>23</v>
      </c>
      <c r="C53" s="33" t="s">
        <v>85</v>
      </c>
      <c r="D53" s="33" t="s">
        <v>86</v>
      </c>
      <c r="E53" s="33" t="s">
        <v>87</v>
      </c>
      <c r="F53" s="33" t="s">
        <v>99</v>
      </c>
      <c r="G53" s="33" t="s">
        <v>99</v>
      </c>
      <c r="H53" s="1"/>
    </row>
    <row r="54" spans="1:8" ht="18.75" x14ac:dyDescent="0.3">
      <c r="B54" s="12" t="s">
        <v>119</v>
      </c>
      <c r="C54" s="8">
        <f>16*C52/100</f>
        <v>1.6</v>
      </c>
      <c r="D54" s="8">
        <f t="shared" ref="D54:G54" si="17">16*D52/100</f>
        <v>1.6</v>
      </c>
      <c r="E54" s="8">
        <f t="shared" si="17"/>
        <v>1.6</v>
      </c>
      <c r="F54" s="8">
        <f t="shared" si="17"/>
        <v>0</v>
      </c>
      <c r="G54" s="8">
        <f t="shared" si="17"/>
        <v>0</v>
      </c>
      <c r="H54" s="1"/>
    </row>
    <row r="55" spans="1:8" ht="31.5" x14ac:dyDescent="0.3">
      <c r="A55" t="s">
        <v>22</v>
      </c>
      <c r="B55" s="6" t="s">
        <v>47</v>
      </c>
      <c r="C55" s="8">
        <f>0*60</f>
        <v>0</v>
      </c>
      <c r="D55" s="8">
        <f t="shared" ref="D55:G55" si="18">0*60</f>
        <v>0</v>
      </c>
      <c r="E55" s="8">
        <f t="shared" si="18"/>
        <v>0</v>
      </c>
      <c r="F55" s="8">
        <f t="shared" si="18"/>
        <v>0</v>
      </c>
      <c r="G55" s="8">
        <f t="shared" si="18"/>
        <v>0</v>
      </c>
      <c r="H55" s="1"/>
    </row>
    <row r="56" spans="1:8" ht="48" x14ac:dyDescent="0.3">
      <c r="B56" s="12" t="s">
        <v>6</v>
      </c>
      <c r="C56" s="25" t="s">
        <v>74</v>
      </c>
      <c r="D56" s="34" t="s">
        <v>88</v>
      </c>
      <c r="E56" s="34" t="s">
        <v>89</v>
      </c>
      <c r="F56" s="33" t="s">
        <v>74</v>
      </c>
      <c r="G56" s="25" t="s">
        <v>74</v>
      </c>
      <c r="H56" s="1"/>
    </row>
    <row r="57" spans="1:8" ht="18.75" x14ac:dyDescent="0.3">
      <c r="B57" s="12" t="s">
        <v>119</v>
      </c>
      <c r="C57" s="20">
        <f>16*C55/100</f>
        <v>0</v>
      </c>
      <c r="D57" s="20">
        <f t="shared" ref="D57:G57" si="19">16*D55/100</f>
        <v>0</v>
      </c>
      <c r="E57" s="20">
        <f t="shared" si="19"/>
        <v>0</v>
      </c>
      <c r="F57" s="20">
        <f t="shared" si="19"/>
        <v>0</v>
      </c>
      <c r="G57" s="20">
        <f t="shared" si="19"/>
        <v>0</v>
      </c>
      <c r="H57" s="1"/>
    </row>
    <row r="58" spans="1:8" ht="18.75" x14ac:dyDescent="0.3">
      <c r="B58" s="2" t="s">
        <v>48</v>
      </c>
      <c r="C58" s="20">
        <f>1*15</f>
        <v>15</v>
      </c>
      <c r="D58" s="20">
        <f t="shared" ref="D58:G58" si="20">1*15</f>
        <v>15</v>
      </c>
      <c r="E58" s="20">
        <f t="shared" si="20"/>
        <v>15</v>
      </c>
      <c r="F58" s="20">
        <f t="shared" si="20"/>
        <v>15</v>
      </c>
      <c r="G58" s="20">
        <f t="shared" si="20"/>
        <v>15</v>
      </c>
      <c r="H58" s="1"/>
    </row>
    <row r="59" spans="1:8" ht="32.25" x14ac:dyDescent="0.3">
      <c r="B59" s="12" t="s">
        <v>24</v>
      </c>
      <c r="C59" s="25" t="s">
        <v>75</v>
      </c>
      <c r="D59" s="17" t="s">
        <v>75</v>
      </c>
      <c r="E59" s="25" t="s">
        <v>75</v>
      </c>
      <c r="F59" s="17" t="s">
        <v>75</v>
      </c>
      <c r="G59" s="25" t="s">
        <v>75</v>
      </c>
      <c r="H59" s="1"/>
    </row>
    <row r="60" spans="1:8" ht="18.75" x14ac:dyDescent="0.3">
      <c r="B60" s="12" t="s">
        <v>119</v>
      </c>
      <c r="C60" s="20">
        <f>16*C58/100</f>
        <v>2.4</v>
      </c>
      <c r="D60" s="20">
        <f t="shared" ref="D60:G60" si="21">16*D58/100</f>
        <v>2.4</v>
      </c>
      <c r="E60" s="20">
        <f t="shared" si="21"/>
        <v>2.4</v>
      </c>
      <c r="F60" s="20">
        <f t="shared" si="21"/>
        <v>2.4</v>
      </c>
      <c r="G60" s="20">
        <f t="shared" si="21"/>
        <v>2.4</v>
      </c>
      <c r="H60" s="1"/>
    </row>
    <row r="61" spans="1:8" ht="32.25" x14ac:dyDescent="0.3">
      <c r="B61" s="7" t="s">
        <v>49</v>
      </c>
      <c r="C61" s="20">
        <f>1*15</f>
        <v>15</v>
      </c>
      <c r="D61" s="20">
        <f t="shared" ref="D61:G61" si="22">1*15</f>
        <v>15</v>
      </c>
      <c r="E61" s="20">
        <f t="shared" si="22"/>
        <v>15</v>
      </c>
      <c r="F61" s="20">
        <f t="shared" si="22"/>
        <v>15</v>
      </c>
      <c r="G61" s="20">
        <f t="shared" si="22"/>
        <v>15</v>
      </c>
      <c r="H61" s="1"/>
    </row>
    <row r="62" spans="1:8" ht="18.75" x14ac:dyDescent="0.3">
      <c r="B62" s="12" t="s">
        <v>25</v>
      </c>
      <c r="C62" s="8" t="s">
        <v>76</v>
      </c>
      <c r="D62" s="8" t="s">
        <v>76</v>
      </c>
      <c r="E62" s="8" t="s">
        <v>76</v>
      </c>
      <c r="F62" s="8" t="s">
        <v>76</v>
      </c>
      <c r="G62" s="8" t="s">
        <v>76</v>
      </c>
      <c r="H62" s="1"/>
    </row>
    <row r="63" spans="1:8" ht="18.75" x14ac:dyDescent="0.3">
      <c r="B63" s="12" t="s">
        <v>119</v>
      </c>
      <c r="C63" s="8">
        <f>16*C61/100</f>
        <v>2.4</v>
      </c>
      <c r="D63" s="8">
        <f t="shared" ref="D63:G63" si="23">16*D61/100</f>
        <v>2.4</v>
      </c>
      <c r="E63" s="8">
        <f t="shared" si="23"/>
        <v>2.4</v>
      </c>
      <c r="F63" s="8">
        <f t="shared" si="23"/>
        <v>2.4</v>
      </c>
      <c r="G63" s="8">
        <f t="shared" si="23"/>
        <v>2.4</v>
      </c>
      <c r="H63" s="1"/>
    </row>
    <row r="64" spans="1:8" ht="18.75" x14ac:dyDescent="0.3">
      <c r="B64" s="207" t="s">
        <v>124</v>
      </c>
      <c r="C64" s="207"/>
      <c r="D64" s="207"/>
      <c r="E64" s="207"/>
      <c r="F64" s="207"/>
      <c r="G64" s="207"/>
      <c r="H64" s="1"/>
    </row>
    <row r="65" spans="2:8" ht="31.5" x14ac:dyDescent="0.3">
      <c r="B65" s="2" t="s">
        <v>50</v>
      </c>
      <c r="C65" s="8">
        <f>1*50</f>
        <v>50</v>
      </c>
      <c r="D65" s="8">
        <f t="shared" ref="D65:G65" si="24">1*50</f>
        <v>50</v>
      </c>
      <c r="E65" s="8">
        <f t="shared" si="24"/>
        <v>50</v>
      </c>
      <c r="F65" s="8">
        <f t="shared" si="24"/>
        <v>50</v>
      </c>
      <c r="G65" s="8">
        <f t="shared" si="24"/>
        <v>50</v>
      </c>
      <c r="H65" s="1"/>
    </row>
    <row r="66" spans="2:8" ht="48" x14ac:dyDescent="0.3">
      <c r="B66" s="12" t="s">
        <v>6</v>
      </c>
      <c r="C66" s="17" t="s">
        <v>77</v>
      </c>
      <c r="D66" s="33" t="s">
        <v>90</v>
      </c>
      <c r="E66" s="33" t="s">
        <v>90</v>
      </c>
      <c r="F66" s="33" t="s">
        <v>100</v>
      </c>
      <c r="G66" s="33" t="s">
        <v>100</v>
      </c>
      <c r="H66" s="1"/>
    </row>
    <row r="67" spans="2:8" ht="18.75" x14ac:dyDescent="0.3">
      <c r="B67" s="12" t="s">
        <v>119</v>
      </c>
      <c r="C67" s="8">
        <f>10*C65/100</f>
        <v>5</v>
      </c>
      <c r="D67" s="8">
        <f t="shared" ref="D67:G67" si="25">10*D65/100</f>
        <v>5</v>
      </c>
      <c r="E67" s="8">
        <f t="shared" si="25"/>
        <v>5</v>
      </c>
      <c r="F67" s="8">
        <f t="shared" si="25"/>
        <v>5</v>
      </c>
      <c r="G67" s="8">
        <f t="shared" si="25"/>
        <v>5</v>
      </c>
      <c r="H67" s="1"/>
    </row>
    <row r="68" spans="2:8" ht="31.5" x14ac:dyDescent="0.3">
      <c r="B68" s="6" t="s">
        <v>51</v>
      </c>
      <c r="C68" s="22">
        <f>1*50</f>
        <v>50</v>
      </c>
      <c r="D68" s="22">
        <f t="shared" ref="D68:G68" si="26">1*50</f>
        <v>50</v>
      </c>
      <c r="E68" s="22">
        <f t="shared" si="26"/>
        <v>50</v>
      </c>
      <c r="F68" s="22">
        <f t="shared" si="26"/>
        <v>50</v>
      </c>
      <c r="G68" s="22">
        <f t="shared" si="26"/>
        <v>50</v>
      </c>
      <c r="H68" s="1"/>
    </row>
    <row r="69" spans="2:8" ht="63.75" x14ac:dyDescent="0.3">
      <c r="B69" s="12" t="s">
        <v>6</v>
      </c>
      <c r="C69" s="17" t="s">
        <v>79</v>
      </c>
      <c r="D69" s="17" t="s">
        <v>79</v>
      </c>
      <c r="E69" s="17" t="s">
        <v>79</v>
      </c>
      <c r="F69" s="17" t="s">
        <v>79</v>
      </c>
      <c r="G69" s="17" t="s">
        <v>79</v>
      </c>
      <c r="H69" s="1"/>
    </row>
    <row r="70" spans="2:8" ht="18.75" x14ac:dyDescent="0.3">
      <c r="B70" s="12" t="s">
        <v>119</v>
      </c>
      <c r="C70" s="59">
        <f>10*C68/100</f>
        <v>5</v>
      </c>
      <c r="D70" s="59">
        <f t="shared" ref="D70:G70" si="27">10*D68/100</f>
        <v>5</v>
      </c>
      <c r="E70" s="59">
        <f t="shared" si="27"/>
        <v>5</v>
      </c>
      <c r="F70" s="59">
        <f t="shared" si="27"/>
        <v>5</v>
      </c>
      <c r="G70" s="59">
        <f t="shared" si="27"/>
        <v>5</v>
      </c>
      <c r="H70" s="1"/>
    </row>
    <row r="71" spans="2:8" ht="18.75" x14ac:dyDescent="0.3">
      <c r="B71" s="207" t="s">
        <v>125</v>
      </c>
      <c r="C71" s="207"/>
      <c r="D71" s="207"/>
      <c r="E71" s="207"/>
      <c r="F71" s="207"/>
      <c r="G71" s="207"/>
      <c r="H71" s="1"/>
    </row>
    <row r="72" spans="2:8" ht="63" x14ac:dyDescent="0.3">
      <c r="B72" s="2" t="s">
        <v>52</v>
      </c>
      <c r="C72" s="8">
        <f>1*50</f>
        <v>50</v>
      </c>
      <c r="D72" s="8">
        <f t="shared" ref="D72:G72" si="28">1*50</f>
        <v>50</v>
      </c>
      <c r="E72" s="8">
        <f t="shared" si="28"/>
        <v>50</v>
      </c>
      <c r="F72" s="8">
        <f t="shared" si="28"/>
        <v>50</v>
      </c>
      <c r="G72" s="8">
        <f t="shared" si="28"/>
        <v>50</v>
      </c>
      <c r="H72" s="1"/>
    </row>
    <row r="73" spans="2:8" ht="54" customHeight="1" x14ac:dyDescent="0.3">
      <c r="B73" s="12" t="s">
        <v>6</v>
      </c>
      <c r="C73" s="35" t="s">
        <v>78</v>
      </c>
      <c r="D73" s="33" t="s">
        <v>78</v>
      </c>
      <c r="E73" s="35" t="s">
        <v>78</v>
      </c>
      <c r="F73" s="33" t="s">
        <v>78</v>
      </c>
      <c r="G73" s="36" t="s">
        <v>78</v>
      </c>
      <c r="H73" s="1"/>
    </row>
    <row r="74" spans="2:8" ht="18.75" x14ac:dyDescent="0.3">
      <c r="B74" s="12" t="s">
        <v>119</v>
      </c>
      <c r="C74" s="8">
        <f>8*C72/100</f>
        <v>4</v>
      </c>
      <c r="D74" s="8">
        <f t="shared" ref="D74:G74" si="29">8*D72/100</f>
        <v>4</v>
      </c>
      <c r="E74" s="8">
        <f t="shared" si="29"/>
        <v>4</v>
      </c>
      <c r="F74" s="8">
        <f t="shared" si="29"/>
        <v>4</v>
      </c>
      <c r="G74" s="8">
        <f t="shared" si="29"/>
        <v>4</v>
      </c>
      <c r="H74" s="1"/>
    </row>
    <row r="75" spans="2:8" ht="78.75" x14ac:dyDescent="0.3">
      <c r="B75" s="2" t="s">
        <v>53</v>
      </c>
      <c r="C75" s="8">
        <f>1*50</f>
        <v>50</v>
      </c>
      <c r="D75" s="8">
        <f t="shared" ref="D75:E75" si="30">1*50</f>
        <v>50</v>
      </c>
      <c r="E75" s="8">
        <f t="shared" si="30"/>
        <v>50</v>
      </c>
      <c r="F75" s="8">
        <f>1*50</f>
        <v>50</v>
      </c>
      <c r="G75" s="8">
        <f>1*50</f>
        <v>50</v>
      </c>
      <c r="H75" s="1"/>
    </row>
    <row r="76" spans="2:8" ht="63" x14ac:dyDescent="0.3">
      <c r="B76" s="12" t="s">
        <v>6</v>
      </c>
      <c r="C76" s="35" t="s">
        <v>78</v>
      </c>
      <c r="D76" s="33" t="s">
        <v>78</v>
      </c>
      <c r="E76" s="35" t="s">
        <v>78</v>
      </c>
      <c r="F76" s="33" t="s">
        <v>101</v>
      </c>
      <c r="G76" s="33" t="s">
        <v>101</v>
      </c>
      <c r="H76" s="1"/>
    </row>
    <row r="77" spans="2:8" ht="18.75" x14ac:dyDescent="0.3">
      <c r="B77" s="12" t="s">
        <v>119</v>
      </c>
      <c r="C77" s="8">
        <f>8*C75/100</f>
        <v>4</v>
      </c>
      <c r="D77" s="8">
        <f t="shared" ref="D77:G77" si="31">8*D75/100</f>
        <v>4</v>
      </c>
      <c r="E77" s="8">
        <f t="shared" si="31"/>
        <v>4</v>
      </c>
      <c r="F77" s="8">
        <f t="shared" si="31"/>
        <v>4</v>
      </c>
      <c r="G77" s="8">
        <f t="shared" si="31"/>
        <v>4</v>
      </c>
      <c r="H77" s="1"/>
    </row>
    <row r="78" spans="2:8" ht="18.75" x14ac:dyDescent="0.3">
      <c r="B78" s="42" t="s">
        <v>58</v>
      </c>
      <c r="C78" s="67">
        <f>C6+C9+C12+C15+C18+C22+C25+C28+C31+C34+C37+C41+C44+C47+C50+C54+C57+C60+C63+C67+C70+C74+C77</f>
        <v>67.009999999999991</v>
      </c>
      <c r="D78" s="67">
        <f t="shared" ref="D78:G78" si="32">D6+D9+D12+D15+D18+D22+D25+D28+D31+D34+D37+D41+D44+D47+D50+D54+D57+D60+D63+D67+D70+D74+D77</f>
        <v>59.975999999999999</v>
      </c>
      <c r="E78" s="67">
        <f t="shared" si="32"/>
        <v>64.984999999999999</v>
      </c>
      <c r="F78" s="67">
        <f t="shared" si="32"/>
        <v>77.669999999999987</v>
      </c>
      <c r="G78" s="67">
        <f t="shared" si="32"/>
        <v>70.085000000000008</v>
      </c>
      <c r="H78" s="1"/>
    </row>
    <row r="79" spans="2:8" ht="60.75" x14ac:dyDescent="0.3">
      <c r="B79" s="42" t="s">
        <v>61</v>
      </c>
      <c r="C79" s="68" t="s">
        <v>115</v>
      </c>
      <c r="D79" s="68" t="s">
        <v>115</v>
      </c>
      <c r="E79" s="68" t="s">
        <v>115</v>
      </c>
      <c r="F79" s="68" t="s">
        <v>115</v>
      </c>
      <c r="G79" s="68" t="s">
        <v>115</v>
      </c>
    </row>
    <row r="81" spans="2:5" x14ac:dyDescent="0.25">
      <c r="B81" t="s">
        <v>116</v>
      </c>
    </row>
    <row r="82" spans="2:5" x14ac:dyDescent="0.25">
      <c r="B82" t="s">
        <v>117</v>
      </c>
      <c r="E82" t="s">
        <v>118</v>
      </c>
    </row>
  </sheetData>
  <mergeCells count="7">
    <mergeCell ref="B71:G71"/>
    <mergeCell ref="B1:G1"/>
    <mergeCell ref="B3:G3"/>
    <mergeCell ref="B19:G19"/>
    <mergeCell ref="B51:G51"/>
    <mergeCell ref="B38:G38"/>
    <mergeCell ref="B64:G64"/>
  </mergeCells>
  <pageMargins left="0.35433070866141736" right="0" top="0.59055118110236227" bottom="0.59055118110236227" header="0.51181102362204722" footer="0.51181102362204722"/>
  <pageSetup paperSize="9" scale="7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4"/>
  <sheetViews>
    <sheetView view="pageBreakPreview" zoomScale="70" zoomScaleNormal="100" zoomScaleSheetLayoutView="70" workbookViewId="0">
      <selection activeCell="E6" sqref="E6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214" t="s">
        <v>198</v>
      </c>
      <c r="C2" s="214"/>
      <c r="D2" s="214"/>
      <c r="E2" s="214"/>
      <c r="F2" s="214"/>
      <c r="G2" s="214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s="106" customFormat="1" ht="30" x14ac:dyDescent="0.3">
      <c r="B4" s="104" t="s">
        <v>27</v>
      </c>
      <c r="C4" s="97">
        <v>0</v>
      </c>
      <c r="D4" s="70">
        <v>0.5</v>
      </c>
      <c r="E4" s="70">
        <v>0.5</v>
      </c>
      <c r="F4" s="70">
        <v>0.5</v>
      </c>
      <c r="G4" s="70">
        <v>0</v>
      </c>
      <c r="H4" s="105"/>
    </row>
    <row r="5" spans="2:8" s="106" customFormat="1" ht="18.75" x14ac:dyDescent="0.3">
      <c r="B5" s="87" t="s">
        <v>6</v>
      </c>
      <c r="C5" s="69" t="s">
        <v>128</v>
      </c>
      <c r="D5" s="50">
        <v>6</v>
      </c>
      <c r="E5" s="50">
        <v>5</v>
      </c>
      <c r="F5" s="50">
        <v>4</v>
      </c>
      <c r="G5" s="69" t="s">
        <v>128</v>
      </c>
      <c r="H5" s="105"/>
    </row>
    <row r="6" spans="2:8" s="106" customFormat="1" ht="18.75" x14ac:dyDescent="0.3">
      <c r="B6" s="87" t="s">
        <v>26</v>
      </c>
      <c r="C6" s="69">
        <v>0</v>
      </c>
      <c r="D6" s="50">
        <v>12.5</v>
      </c>
      <c r="E6" s="50">
        <v>12.5</v>
      </c>
      <c r="F6" s="50">
        <v>12.5</v>
      </c>
      <c r="G6" s="50">
        <v>0</v>
      </c>
      <c r="H6" s="105"/>
    </row>
    <row r="7" spans="2:8" s="106" customFormat="1" ht="63" x14ac:dyDescent="0.3">
      <c r="B7" s="107" t="s">
        <v>30</v>
      </c>
      <c r="C7" s="98">
        <v>0</v>
      </c>
      <c r="D7" s="50">
        <v>1</v>
      </c>
      <c r="E7" s="50">
        <v>1</v>
      </c>
      <c r="F7" s="50">
        <v>1</v>
      </c>
      <c r="G7" s="50">
        <v>1</v>
      </c>
      <c r="H7" s="105"/>
    </row>
    <row r="8" spans="2:8" s="106" customFormat="1" ht="76.5" customHeight="1" x14ac:dyDescent="0.3">
      <c r="B8" s="87" t="s">
        <v>6</v>
      </c>
      <c r="C8" s="103" t="s">
        <v>199</v>
      </c>
      <c r="D8" s="219" t="s">
        <v>63</v>
      </c>
      <c r="E8" s="222"/>
      <c r="F8" s="222"/>
      <c r="G8" s="223"/>
      <c r="H8" s="105"/>
    </row>
    <row r="9" spans="2:8" s="106" customFormat="1" ht="18.75" x14ac:dyDescent="0.3">
      <c r="B9" s="87" t="s">
        <v>26</v>
      </c>
      <c r="C9" s="69">
        <v>0</v>
      </c>
      <c r="D9" s="50">
        <v>25</v>
      </c>
      <c r="E9" s="50">
        <v>25</v>
      </c>
      <c r="F9" s="50">
        <v>25</v>
      </c>
      <c r="G9" s="50">
        <v>25</v>
      </c>
      <c r="H9" s="105"/>
    </row>
    <row r="10" spans="2:8" s="106" customFormat="1" ht="63.75" x14ac:dyDescent="0.3">
      <c r="B10" s="62" t="s">
        <v>29</v>
      </c>
      <c r="C10" s="69">
        <v>1</v>
      </c>
      <c r="D10" s="50">
        <v>1</v>
      </c>
      <c r="E10" s="50">
        <v>1</v>
      </c>
      <c r="F10" s="50">
        <v>1</v>
      </c>
      <c r="G10" s="50">
        <v>1</v>
      </c>
      <c r="H10" s="105"/>
    </row>
    <row r="11" spans="2:8" s="106" customFormat="1" ht="18.75" x14ac:dyDescent="0.3">
      <c r="B11" s="87" t="s">
        <v>6</v>
      </c>
      <c r="C11" s="69" t="s">
        <v>64</v>
      </c>
      <c r="D11" s="99"/>
      <c r="E11" s="99"/>
      <c r="F11" s="99"/>
      <c r="G11" s="99"/>
      <c r="H11" s="105"/>
    </row>
    <row r="12" spans="2:8" s="106" customFormat="1" ht="18.75" x14ac:dyDescent="0.3">
      <c r="B12" s="87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05"/>
    </row>
    <row r="13" spans="2:8" s="106" customFormat="1" ht="79.5" x14ac:dyDescent="0.3">
      <c r="B13" s="62" t="s">
        <v>28</v>
      </c>
      <c r="C13" s="100">
        <v>1</v>
      </c>
      <c r="D13" s="100">
        <v>1</v>
      </c>
      <c r="E13" s="100">
        <v>1</v>
      </c>
      <c r="F13" s="100">
        <v>1</v>
      </c>
      <c r="G13" s="100">
        <v>1</v>
      </c>
      <c r="H13" s="105"/>
    </row>
    <row r="14" spans="2:8" ht="51.75" x14ac:dyDescent="0.3">
      <c r="B14" s="12" t="s">
        <v>6</v>
      </c>
      <c r="C14" s="101" t="s">
        <v>59</v>
      </c>
      <c r="D14" s="102" t="s">
        <v>59</v>
      </c>
      <c r="E14" s="102" t="s">
        <v>59</v>
      </c>
      <c r="F14" s="102" t="s">
        <v>59</v>
      </c>
      <c r="G14" s="101" t="s">
        <v>59</v>
      </c>
      <c r="H14" s="1"/>
    </row>
    <row r="15" spans="2:8" ht="18.75" x14ac:dyDescent="0.3">
      <c r="B15" s="12" t="s">
        <v>26</v>
      </c>
      <c r="C15" s="70">
        <f>30*1</f>
        <v>30</v>
      </c>
      <c r="D15" s="70">
        <f t="shared" ref="D15:G15" si="0">30*1</f>
        <v>30</v>
      </c>
      <c r="E15" s="70">
        <f t="shared" si="0"/>
        <v>30</v>
      </c>
      <c r="F15" s="70">
        <f t="shared" si="0"/>
        <v>30</v>
      </c>
      <c r="G15" s="70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50</v>
      </c>
      <c r="D16" s="39">
        <f t="shared" ref="D16:G16" si="1">D6+D9+D12+D15</f>
        <v>87.5</v>
      </c>
      <c r="E16" s="39">
        <f t="shared" si="1"/>
        <v>87.5</v>
      </c>
      <c r="F16" s="39">
        <f t="shared" si="1"/>
        <v>87.5</v>
      </c>
      <c r="G16" s="39">
        <f t="shared" si="1"/>
        <v>75</v>
      </c>
      <c r="H16" s="1"/>
    </row>
    <row r="17" spans="2:8" ht="18.75" x14ac:dyDescent="0.3">
      <c r="B17" s="37" t="s">
        <v>55</v>
      </c>
      <c r="C17" s="40" t="s">
        <v>191</v>
      </c>
      <c r="D17" s="40" t="s">
        <v>134</v>
      </c>
      <c r="E17" s="40" t="s">
        <v>134</v>
      </c>
      <c r="F17" s="40" t="s">
        <v>134</v>
      </c>
      <c r="G17" s="40" t="s">
        <v>200</v>
      </c>
      <c r="H17" s="1"/>
    </row>
    <row r="18" spans="2:8" ht="33.75" x14ac:dyDescent="0.3">
      <c r="B18" s="53" t="s">
        <v>54</v>
      </c>
      <c r="C18" s="215">
        <f>(C16+D16+E16+F16+G16)/5</f>
        <v>77.5</v>
      </c>
      <c r="D18" s="216"/>
      <c r="E18" s="216"/>
      <c r="F18" s="216"/>
      <c r="G18" s="217"/>
      <c r="H18" s="1"/>
    </row>
    <row r="19" spans="2:8" ht="93.75" x14ac:dyDescent="0.3">
      <c r="B19" s="38" t="s">
        <v>57</v>
      </c>
      <c r="C19" s="48">
        <f>100-C16</f>
        <v>50</v>
      </c>
      <c r="D19" s="48">
        <f t="shared" ref="D19:G19" si="2">100-D16</f>
        <v>12.5</v>
      </c>
      <c r="E19" s="48">
        <f t="shared" si="2"/>
        <v>12.5</v>
      </c>
      <c r="F19" s="48">
        <f t="shared" si="2"/>
        <v>12.5</v>
      </c>
      <c r="G19" s="48">
        <f t="shared" si="2"/>
        <v>25</v>
      </c>
      <c r="H19" s="1"/>
    </row>
    <row r="20" spans="2:8" ht="74.25" customHeight="1" x14ac:dyDescent="0.3">
      <c r="B20" s="54" t="s">
        <v>61</v>
      </c>
      <c r="C20" s="44" t="s">
        <v>193</v>
      </c>
      <c r="D20" s="44" t="s">
        <v>60</v>
      </c>
      <c r="E20" s="44" t="s">
        <v>60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ht="16.5" x14ac:dyDescent="0.25">
      <c r="B22" s="71" t="s">
        <v>201</v>
      </c>
      <c r="C22" s="71"/>
      <c r="D22" s="71"/>
      <c r="E22" s="71"/>
      <c r="F22" s="71"/>
      <c r="G22" s="71" t="s">
        <v>118</v>
      </c>
    </row>
    <row r="23" spans="2:8" ht="16.5" x14ac:dyDescent="0.25">
      <c r="B23" s="71"/>
      <c r="C23" s="71"/>
      <c r="D23" s="71"/>
      <c r="E23" s="71"/>
      <c r="F23" s="71"/>
      <c r="G23" s="71"/>
    </row>
    <row r="24" spans="2:8" ht="16.5" x14ac:dyDescent="0.25">
      <c r="B24" s="71" t="s">
        <v>185</v>
      </c>
      <c r="C24" s="71"/>
      <c r="D24" s="71"/>
      <c r="E24" s="71"/>
      <c r="F24" s="71"/>
      <c r="G24" s="71"/>
    </row>
  </sheetData>
  <mergeCells count="3">
    <mergeCell ref="B2:G2"/>
    <mergeCell ref="D8:G8"/>
    <mergeCell ref="C18:G18"/>
  </mergeCells>
  <pageMargins left="0.35433070866141736" right="0.15748031496062992" top="0.78740157480314965" bottom="0.59055118110236227" header="0.51181102362204722" footer="0.51181102362204722"/>
  <pageSetup paperSize="9" fitToHeight="2" orientation="landscape" r:id="rId1"/>
  <rowBreaks count="1" manualBreakCount="1">
    <brk id="13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zoomScale="85" zoomScaleNormal="85" workbookViewId="0">
      <pane ySplit="2" topLeftCell="A18" activePane="bottomLeft" state="frozen"/>
      <selection pane="bottomLeft" activeCell="C22" sqref="C22"/>
    </sheetView>
  </sheetViews>
  <sheetFormatPr defaultRowHeight="15" x14ac:dyDescent="0.25"/>
  <cols>
    <col min="1" max="1" width="1.5703125" customWidth="1"/>
    <col min="2" max="2" width="48.28515625" customWidth="1"/>
    <col min="3" max="3" width="27.140625" customWidth="1"/>
    <col min="4" max="4" width="23.42578125" customWidth="1"/>
    <col min="5" max="5" width="23.28515625" customWidth="1"/>
    <col min="6" max="6" width="23.42578125" customWidth="1"/>
    <col min="7" max="7" width="25.42578125" customWidth="1"/>
  </cols>
  <sheetData>
    <row r="1" spans="2:8" ht="61.5" customHeight="1" x14ac:dyDescent="0.25">
      <c r="B1" s="208" t="s">
        <v>202</v>
      </c>
      <c r="C1" s="208"/>
      <c r="D1" s="208"/>
      <c r="E1" s="208"/>
      <c r="F1" s="208"/>
      <c r="G1" s="208"/>
    </row>
    <row r="2" spans="2:8" ht="32.25" x14ac:dyDescent="0.3">
      <c r="B2" s="9" t="s">
        <v>0</v>
      </c>
      <c r="C2" s="7" t="s">
        <v>1</v>
      </c>
      <c r="D2" s="61" t="s">
        <v>2</v>
      </c>
      <c r="E2" s="62" t="s">
        <v>3</v>
      </c>
      <c r="F2" s="62" t="s">
        <v>4</v>
      </c>
      <c r="G2" s="62" t="s">
        <v>5</v>
      </c>
      <c r="H2" s="1"/>
    </row>
    <row r="3" spans="2:8" ht="18.75" x14ac:dyDescent="0.3">
      <c r="B3" s="209" t="s">
        <v>120</v>
      </c>
      <c r="C3" s="209"/>
      <c r="D3" s="209"/>
      <c r="E3" s="209"/>
      <c r="F3" s="209"/>
      <c r="G3" s="209"/>
      <c r="H3" s="1"/>
    </row>
    <row r="4" spans="2:8" ht="47.25" x14ac:dyDescent="0.3">
      <c r="B4" s="107" t="s">
        <v>31</v>
      </c>
      <c r="C4" s="59">
        <f>20*72.8/100</f>
        <v>14.56</v>
      </c>
      <c r="D4" s="66">
        <f>20*0/100</f>
        <v>0</v>
      </c>
      <c r="E4" s="66">
        <f>20*100/100</f>
        <v>20</v>
      </c>
      <c r="F4" s="66">
        <f>20*97.6/100</f>
        <v>19.52</v>
      </c>
      <c r="G4" s="66">
        <f>20*99/100</f>
        <v>19.8</v>
      </c>
      <c r="H4" s="1"/>
    </row>
    <row r="5" spans="2:8" ht="18.75" x14ac:dyDescent="0.3">
      <c r="B5" s="109" t="s">
        <v>6</v>
      </c>
      <c r="C5" s="110" t="s">
        <v>205</v>
      </c>
      <c r="D5" s="110" t="s">
        <v>204</v>
      </c>
      <c r="E5" s="110" t="s">
        <v>203</v>
      </c>
      <c r="F5" s="110" t="s">
        <v>206</v>
      </c>
      <c r="G5" s="110" t="s">
        <v>207</v>
      </c>
      <c r="H5" s="1"/>
    </row>
    <row r="6" spans="2:8" ht="18.75" x14ac:dyDescent="0.3">
      <c r="B6" s="87" t="s">
        <v>119</v>
      </c>
      <c r="C6" s="66">
        <f>25*C4/100</f>
        <v>3.64</v>
      </c>
      <c r="D6" s="66">
        <f>25*D4/100</f>
        <v>0</v>
      </c>
      <c r="E6" s="66">
        <f>25*E4/100</f>
        <v>5</v>
      </c>
      <c r="F6" s="66">
        <f>25*F4/100</f>
        <v>4.88</v>
      </c>
      <c r="G6" s="66">
        <f>25*G4/100</f>
        <v>4.95</v>
      </c>
      <c r="H6" s="1"/>
    </row>
    <row r="7" spans="2:8" ht="94.5" x14ac:dyDescent="0.3">
      <c r="B7" s="107" t="s">
        <v>32</v>
      </c>
      <c r="C7" s="92">
        <f>20*100/100</f>
        <v>20</v>
      </c>
      <c r="D7" s="92">
        <f>20*100/100</f>
        <v>20</v>
      </c>
      <c r="E7" s="92">
        <f>20*100/100</f>
        <v>20</v>
      </c>
      <c r="F7" s="66">
        <f>20*99.99/100</f>
        <v>19.998000000000001</v>
      </c>
      <c r="G7" s="59">
        <f>20*80/100</f>
        <v>16</v>
      </c>
      <c r="H7" s="1"/>
    </row>
    <row r="8" spans="2:8" ht="63.75" x14ac:dyDescent="0.3">
      <c r="B8" s="109" t="s">
        <v>6</v>
      </c>
      <c r="C8" s="92" t="s">
        <v>179</v>
      </c>
      <c r="D8" s="92" t="s">
        <v>179</v>
      </c>
      <c r="E8" s="92" t="s">
        <v>180</v>
      </c>
      <c r="F8" s="111" t="s">
        <v>208</v>
      </c>
      <c r="G8" s="112" t="s">
        <v>226</v>
      </c>
      <c r="H8" s="1"/>
    </row>
    <row r="9" spans="2:8" ht="18.75" x14ac:dyDescent="0.3">
      <c r="B9" s="87" t="s">
        <v>119</v>
      </c>
      <c r="C9" s="59">
        <f>25*C7/100</f>
        <v>5</v>
      </c>
      <c r="D9" s="59">
        <f>25*D7/100</f>
        <v>5</v>
      </c>
      <c r="E9" s="59">
        <f>25*E7/100</f>
        <v>5</v>
      </c>
      <c r="F9" s="113">
        <f>25*F7/100</f>
        <v>4.9995000000000003</v>
      </c>
      <c r="G9" s="59">
        <f>25*G7/100</f>
        <v>4</v>
      </c>
      <c r="H9" s="1"/>
    </row>
    <row r="10" spans="2:8" ht="94.5" x14ac:dyDescent="0.3">
      <c r="B10" s="88" t="s">
        <v>33</v>
      </c>
      <c r="C10" s="59">
        <f>20*100/100</f>
        <v>20</v>
      </c>
      <c r="D10" s="59">
        <f>20*100/100</f>
        <v>20</v>
      </c>
      <c r="E10" s="59">
        <f>20*100/100</f>
        <v>20</v>
      </c>
      <c r="F10" s="59">
        <f>20*97.9/100</f>
        <v>19.579999999999998</v>
      </c>
      <c r="G10" s="59">
        <f>20*100/100</f>
        <v>20</v>
      </c>
      <c r="H10" s="1"/>
    </row>
    <row r="11" spans="2:8" ht="45.75" x14ac:dyDescent="0.3">
      <c r="B11" s="87" t="s">
        <v>6</v>
      </c>
      <c r="C11" s="114" t="s">
        <v>181</v>
      </c>
      <c r="D11" s="114" t="s">
        <v>181</v>
      </c>
      <c r="E11" s="114" t="s">
        <v>181</v>
      </c>
      <c r="F11" s="112" t="s">
        <v>225</v>
      </c>
      <c r="G11" s="112" t="s">
        <v>227</v>
      </c>
      <c r="H11" s="1"/>
    </row>
    <row r="12" spans="2:8" ht="18.75" x14ac:dyDescent="0.3">
      <c r="B12" s="87" t="s">
        <v>119</v>
      </c>
      <c r="C12" s="59">
        <f>25*C10/100</f>
        <v>5</v>
      </c>
      <c r="D12" s="59">
        <f>25*D10/100</f>
        <v>5</v>
      </c>
      <c r="E12" s="59">
        <f>25*E10/100</f>
        <v>5</v>
      </c>
      <c r="F12" s="66">
        <f>25*F10/100</f>
        <v>4.8949999999999996</v>
      </c>
      <c r="G12" s="59">
        <f>25*G10/100</f>
        <v>5</v>
      </c>
      <c r="H12" s="1"/>
    </row>
    <row r="13" spans="2:8" ht="47.25" x14ac:dyDescent="0.3">
      <c r="B13" s="107" t="s">
        <v>34</v>
      </c>
      <c r="C13" s="58">
        <v>1</v>
      </c>
      <c r="D13" s="58">
        <v>0</v>
      </c>
      <c r="E13" s="59">
        <v>1</v>
      </c>
      <c r="F13" s="59">
        <v>1</v>
      </c>
      <c r="G13" s="59">
        <v>0</v>
      </c>
      <c r="H13" s="1"/>
    </row>
    <row r="14" spans="2:8" ht="63.75" x14ac:dyDescent="0.3">
      <c r="B14" s="87" t="s">
        <v>8</v>
      </c>
      <c r="C14" s="115" t="s">
        <v>183</v>
      </c>
      <c r="D14" s="115" t="s">
        <v>182</v>
      </c>
      <c r="E14" s="92" t="s">
        <v>175</v>
      </c>
      <c r="F14" s="116" t="s">
        <v>183</v>
      </c>
      <c r="G14" s="115" t="s">
        <v>182</v>
      </c>
      <c r="H14" s="1"/>
    </row>
    <row r="15" spans="2:8" ht="18.75" x14ac:dyDescent="0.3">
      <c r="B15" s="87" t="s">
        <v>119</v>
      </c>
      <c r="C15" s="75">
        <f>25*C13/100</f>
        <v>0.25</v>
      </c>
      <c r="D15" s="75">
        <f>25*D13/100</f>
        <v>0</v>
      </c>
      <c r="E15" s="75">
        <f>25*E13/100</f>
        <v>0.25</v>
      </c>
      <c r="F15" s="75">
        <f t="shared" ref="F15:G15" si="0">25*F13/100</f>
        <v>0.25</v>
      </c>
      <c r="G15" s="75">
        <f t="shared" si="0"/>
        <v>0</v>
      </c>
      <c r="H15" s="1"/>
    </row>
    <row r="16" spans="2:8" ht="31.5" x14ac:dyDescent="0.3">
      <c r="B16" s="107" t="s">
        <v>35</v>
      </c>
      <c r="C16" s="85">
        <f>1*20*99.6/100</f>
        <v>19.920000000000002</v>
      </c>
      <c r="D16" s="85">
        <f>1*20*100/100</f>
        <v>20</v>
      </c>
      <c r="E16" s="85">
        <f>1*20*100/100</f>
        <v>20</v>
      </c>
      <c r="F16" s="85">
        <f>1*20*94.5/100</f>
        <v>18.899999999999999</v>
      </c>
      <c r="G16" s="85">
        <f>1*20*75.6/100</f>
        <v>15.12</v>
      </c>
      <c r="H16" s="1"/>
    </row>
    <row r="17" spans="2:8" ht="18.75" x14ac:dyDescent="0.3">
      <c r="B17" s="87" t="s">
        <v>6</v>
      </c>
      <c r="C17" s="58" t="s">
        <v>239</v>
      </c>
      <c r="D17" s="59" t="s">
        <v>210</v>
      </c>
      <c r="E17" s="59" t="s">
        <v>223</v>
      </c>
      <c r="F17" s="59" t="s">
        <v>209</v>
      </c>
      <c r="G17" s="59" t="s">
        <v>228</v>
      </c>
      <c r="H17" s="1"/>
    </row>
    <row r="18" spans="2:8" ht="18.75" x14ac:dyDescent="0.3">
      <c r="B18" s="87" t="s">
        <v>119</v>
      </c>
      <c r="C18" s="66">
        <f>25*C16/100</f>
        <v>4.9800000000000004</v>
      </c>
      <c r="D18" s="66">
        <f t="shared" ref="D18:F18" si="1">25*D16/100</f>
        <v>5</v>
      </c>
      <c r="E18" s="66">
        <f t="shared" si="1"/>
        <v>5</v>
      </c>
      <c r="F18" s="66">
        <f t="shared" si="1"/>
        <v>4.7249999999999996</v>
      </c>
      <c r="G18" s="66">
        <f>25*G16/100</f>
        <v>3.78</v>
      </c>
      <c r="H18" s="1"/>
    </row>
    <row r="19" spans="2:8" ht="18.75" x14ac:dyDescent="0.3">
      <c r="B19" s="227" t="s">
        <v>121</v>
      </c>
      <c r="C19" s="228"/>
      <c r="D19" s="228"/>
      <c r="E19" s="228"/>
      <c r="F19" s="228"/>
      <c r="G19" s="229"/>
      <c r="H19" s="1"/>
    </row>
    <row r="20" spans="2:8" ht="48" x14ac:dyDescent="0.3">
      <c r="B20" s="107" t="s">
        <v>36</v>
      </c>
      <c r="C20" s="93" t="s">
        <v>218</v>
      </c>
      <c r="D20" s="92" t="s">
        <v>214</v>
      </c>
      <c r="E20" s="92" t="s">
        <v>213</v>
      </c>
      <c r="F20" s="92" t="s">
        <v>216</v>
      </c>
      <c r="G20" s="96" t="s">
        <v>220</v>
      </c>
      <c r="H20" s="1"/>
    </row>
    <row r="21" spans="2:8" ht="60.75" x14ac:dyDescent="0.3">
      <c r="B21" s="87" t="s">
        <v>9</v>
      </c>
      <c r="C21" s="117" t="s">
        <v>217</v>
      </c>
      <c r="D21" s="118" t="s">
        <v>211</v>
      </c>
      <c r="E21" s="118" t="s">
        <v>212</v>
      </c>
      <c r="F21" s="118" t="s">
        <v>215</v>
      </c>
      <c r="G21" s="118" t="s">
        <v>219</v>
      </c>
      <c r="H21" s="1"/>
    </row>
    <row r="22" spans="2:8" ht="18.75" x14ac:dyDescent="0.3">
      <c r="B22" s="87" t="s">
        <v>119</v>
      </c>
      <c r="C22" s="59">
        <f>25*20/100</f>
        <v>5</v>
      </c>
      <c r="D22" s="59">
        <f>25*20/100</f>
        <v>5</v>
      </c>
      <c r="E22" s="59">
        <f>25*20/100</f>
        <v>5</v>
      </c>
      <c r="F22" s="59">
        <f>25*20/100</f>
        <v>5</v>
      </c>
      <c r="G22" s="59">
        <f>25*20/100</f>
        <v>5</v>
      </c>
      <c r="H22" s="1"/>
    </row>
    <row r="23" spans="2:8" ht="63" x14ac:dyDescent="0.3">
      <c r="B23" s="65" t="s">
        <v>37</v>
      </c>
      <c r="C23" s="92">
        <f>10*100/100</f>
        <v>10</v>
      </c>
      <c r="D23" s="92">
        <f>10*100/100</f>
        <v>10</v>
      </c>
      <c r="E23" s="92">
        <f t="shared" ref="E23:F23" si="2">10*100/100</f>
        <v>10</v>
      </c>
      <c r="F23" s="92">
        <f t="shared" si="2"/>
        <v>10</v>
      </c>
      <c r="G23" s="92">
        <f>10*100/100</f>
        <v>10</v>
      </c>
      <c r="H23" s="1"/>
    </row>
    <row r="24" spans="2:8" ht="48" x14ac:dyDescent="0.3">
      <c r="B24" s="109" t="s">
        <v>6</v>
      </c>
      <c r="C24" s="92" t="s">
        <v>237</v>
      </c>
      <c r="D24" s="92" t="s">
        <v>15</v>
      </c>
      <c r="E24" s="92" t="s">
        <v>15</v>
      </c>
      <c r="F24" s="92" t="s">
        <v>15</v>
      </c>
      <c r="G24" s="92" t="s">
        <v>238</v>
      </c>
      <c r="H24" s="1"/>
    </row>
    <row r="25" spans="2:8" ht="18.75" x14ac:dyDescent="0.3">
      <c r="B25" s="87" t="s">
        <v>119</v>
      </c>
      <c r="C25" s="66">
        <f>C23*25/100</f>
        <v>2.5</v>
      </c>
      <c r="D25" s="59">
        <f>10*25/100</f>
        <v>2.5</v>
      </c>
      <c r="E25" s="59">
        <f t="shared" ref="E25:F25" si="3">10*25/100</f>
        <v>2.5</v>
      </c>
      <c r="F25" s="59">
        <f t="shared" si="3"/>
        <v>2.5</v>
      </c>
      <c r="G25" s="66">
        <f>G23*25/100</f>
        <v>2.5</v>
      </c>
      <c r="H25" s="1"/>
    </row>
    <row r="26" spans="2:8" ht="63" x14ac:dyDescent="0.3">
      <c r="B26" s="65" t="s">
        <v>38</v>
      </c>
      <c r="C26" s="92">
        <f t="shared" ref="C26:D26" si="4">10*100/100</f>
        <v>10</v>
      </c>
      <c r="D26" s="92">
        <f t="shared" si="4"/>
        <v>10</v>
      </c>
      <c r="E26" s="92">
        <f>10*100/100</f>
        <v>10</v>
      </c>
      <c r="F26" s="59">
        <f>10*91.8/100</f>
        <v>9.18</v>
      </c>
      <c r="G26" s="59">
        <f>10*87.1/100</f>
        <v>8.7100000000000009</v>
      </c>
      <c r="H26" s="1"/>
    </row>
    <row r="27" spans="2:8" ht="48" x14ac:dyDescent="0.3">
      <c r="B27" s="87" t="s">
        <v>6</v>
      </c>
      <c r="C27" s="92" t="s">
        <v>16</v>
      </c>
      <c r="D27" s="92" t="s">
        <v>16</v>
      </c>
      <c r="E27" s="92" t="s">
        <v>16</v>
      </c>
      <c r="F27" s="92" t="s">
        <v>221</v>
      </c>
      <c r="G27" s="92" t="s">
        <v>222</v>
      </c>
      <c r="H27" s="1"/>
    </row>
    <row r="28" spans="2:8" ht="18.75" x14ac:dyDescent="0.3">
      <c r="B28" s="87" t="s">
        <v>119</v>
      </c>
      <c r="C28" s="66">
        <f t="shared" ref="C28:E28" si="5">C26*25/100</f>
        <v>2.5</v>
      </c>
      <c r="D28" s="66">
        <f t="shared" si="5"/>
        <v>2.5</v>
      </c>
      <c r="E28" s="66">
        <f t="shared" si="5"/>
        <v>2.5</v>
      </c>
      <c r="F28" s="66">
        <f>F26*25/100</f>
        <v>2.2949999999999999</v>
      </c>
      <c r="G28" s="66">
        <f>G26*25/100</f>
        <v>2.1775000000000002</v>
      </c>
      <c r="H28" s="1"/>
    </row>
    <row r="29" spans="2:8" ht="18.75" x14ac:dyDescent="0.3">
      <c r="B29" s="61" t="s">
        <v>39</v>
      </c>
      <c r="C29" s="59" t="s">
        <v>67</v>
      </c>
      <c r="D29" s="59" t="s">
        <v>67</v>
      </c>
      <c r="E29" s="59" t="s">
        <v>156</v>
      </c>
      <c r="F29" s="59" t="s">
        <v>67</v>
      </c>
      <c r="G29" s="59" t="s">
        <v>67</v>
      </c>
      <c r="H29" s="1"/>
    </row>
    <row r="30" spans="2:8" ht="32.25" x14ac:dyDescent="0.3">
      <c r="B30" s="87" t="s">
        <v>6</v>
      </c>
      <c r="C30" s="60" t="s">
        <v>21</v>
      </c>
      <c r="D30" s="60" t="s">
        <v>21</v>
      </c>
      <c r="E30" s="60" t="s">
        <v>155</v>
      </c>
      <c r="F30" s="60" t="s">
        <v>21</v>
      </c>
      <c r="G30" s="60" t="s">
        <v>21</v>
      </c>
      <c r="H30" s="1"/>
    </row>
    <row r="31" spans="2:8" ht="18.75" x14ac:dyDescent="0.3">
      <c r="B31" s="87" t="s">
        <v>119</v>
      </c>
      <c r="C31" s="85">
        <f>0*25/100</f>
        <v>0</v>
      </c>
      <c r="D31" s="85">
        <f t="shared" ref="D31:G31" si="6">0*25/100</f>
        <v>0</v>
      </c>
      <c r="E31" s="86">
        <f>0.5*25/100</f>
        <v>0.125</v>
      </c>
      <c r="F31" s="85">
        <f t="shared" si="6"/>
        <v>0</v>
      </c>
      <c r="G31" s="85">
        <f t="shared" si="6"/>
        <v>0</v>
      </c>
      <c r="H31" s="1"/>
    </row>
    <row r="32" spans="2:8" ht="47.25" x14ac:dyDescent="0.3">
      <c r="B32" s="88" t="s">
        <v>40</v>
      </c>
      <c r="C32" s="85">
        <v>0</v>
      </c>
      <c r="D32" s="85">
        <f t="shared" ref="D32:G32" si="7">1*20</f>
        <v>20</v>
      </c>
      <c r="E32" s="85">
        <f t="shared" si="7"/>
        <v>20</v>
      </c>
      <c r="F32" s="85">
        <f t="shared" si="7"/>
        <v>20</v>
      </c>
      <c r="G32" s="85">
        <f t="shared" si="7"/>
        <v>20</v>
      </c>
      <c r="H32" s="1"/>
    </row>
    <row r="33" spans="2:8" ht="48" x14ac:dyDescent="0.3">
      <c r="B33" s="87" t="s">
        <v>6</v>
      </c>
      <c r="C33" s="60" t="s">
        <v>224</v>
      </c>
      <c r="D33" s="60" t="s">
        <v>84</v>
      </c>
      <c r="E33" s="60" t="s">
        <v>84</v>
      </c>
      <c r="F33" s="60" t="s">
        <v>84</v>
      </c>
      <c r="G33" s="60" t="s">
        <v>84</v>
      </c>
      <c r="H33" s="1"/>
    </row>
    <row r="34" spans="2:8" ht="18.75" x14ac:dyDescent="0.3">
      <c r="B34" s="87" t="s">
        <v>119</v>
      </c>
      <c r="C34" s="85">
        <f>25*C32/100</f>
        <v>0</v>
      </c>
      <c r="D34" s="85">
        <f t="shared" ref="D34:G34" si="8">25*D32/100</f>
        <v>5</v>
      </c>
      <c r="E34" s="85">
        <f t="shared" si="8"/>
        <v>5</v>
      </c>
      <c r="F34" s="85">
        <f t="shared" si="8"/>
        <v>5</v>
      </c>
      <c r="G34" s="85">
        <f t="shared" si="8"/>
        <v>5</v>
      </c>
      <c r="H34" s="1"/>
    </row>
    <row r="35" spans="2:8" ht="47.25" x14ac:dyDescent="0.3">
      <c r="B35" s="107" t="s">
        <v>41</v>
      </c>
      <c r="C35" s="59">
        <f>1*20</f>
        <v>20</v>
      </c>
      <c r="D35" s="59">
        <f t="shared" ref="D35:G35" si="9">1*20</f>
        <v>20</v>
      </c>
      <c r="E35" s="59">
        <f>1*20</f>
        <v>20</v>
      </c>
      <c r="F35" s="59">
        <f t="shared" si="9"/>
        <v>20</v>
      </c>
      <c r="G35" s="59">
        <f t="shared" si="9"/>
        <v>20</v>
      </c>
      <c r="H35" s="1"/>
    </row>
    <row r="36" spans="2:8" ht="48" x14ac:dyDescent="0.3">
      <c r="B36" s="109" t="s">
        <v>6</v>
      </c>
      <c r="C36" s="60" t="s">
        <v>69</v>
      </c>
      <c r="D36" s="60" t="s">
        <v>69</v>
      </c>
      <c r="E36" s="60" t="s">
        <v>69</v>
      </c>
      <c r="F36" s="92" t="s">
        <v>69</v>
      </c>
      <c r="G36" s="60" t="s">
        <v>69</v>
      </c>
      <c r="H36" s="1"/>
    </row>
    <row r="37" spans="2:8" ht="18.75" x14ac:dyDescent="0.3">
      <c r="B37" s="87" t="s">
        <v>119</v>
      </c>
      <c r="C37" s="59">
        <f>25*C35/100</f>
        <v>5</v>
      </c>
      <c r="D37" s="59">
        <f t="shared" ref="D37:G37" si="10">25*D35/100</f>
        <v>5</v>
      </c>
      <c r="E37" s="59">
        <f t="shared" si="10"/>
        <v>5</v>
      </c>
      <c r="F37" s="59">
        <f t="shared" si="10"/>
        <v>5</v>
      </c>
      <c r="G37" s="59">
        <f t="shared" si="10"/>
        <v>5</v>
      </c>
      <c r="H37" s="1"/>
    </row>
    <row r="38" spans="2:8" ht="18.75" x14ac:dyDescent="0.3">
      <c r="B38" s="218" t="s">
        <v>122</v>
      </c>
      <c r="C38" s="218"/>
      <c r="D38" s="218"/>
      <c r="E38" s="218"/>
      <c r="F38" s="218"/>
      <c r="G38" s="218"/>
      <c r="H38" s="1"/>
    </row>
    <row r="39" spans="2:8" ht="78.75" x14ac:dyDescent="0.3">
      <c r="B39" s="88" t="s">
        <v>42</v>
      </c>
      <c r="C39" s="89">
        <f t="shared" ref="C39:G39" si="11">1*35</f>
        <v>35</v>
      </c>
      <c r="D39" s="89">
        <f t="shared" si="11"/>
        <v>35</v>
      </c>
      <c r="E39" s="89">
        <f t="shared" si="11"/>
        <v>35</v>
      </c>
      <c r="F39" s="89">
        <f t="shared" si="11"/>
        <v>35</v>
      </c>
      <c r="G39" s="89">
        <f t="shared" si="11"/>
        <v>35</v>
      </c>
      <c r="H39" s="1"/>
    </row>
    <row r="40" spans="2:8" ht="67.5" customHeight="1" x14ac:dyDescent="0.3">
      <c r="B40" s="87" t="s">
        <v>6</v>
      </c>
      <c r="C40" s="90" t="s">
        <v>70</v>
      </c>
      <c r="D40" s="90" t="s">
        <v>70</v>
      </c>
      <c r="E40" s="90" t="s">
        <v>70</v>
      </c>
      <c r="F40" s="90" t="s">
        <v>70</v>
      </c>
      <c r="G40" s="90" t="s">
        <v>70</v>
      </c>
      <c r="H40" s="1"/>
    </row>
    <row r="41" spans="2:8" ht="18.75" x14ac:dyDescent="0.3">
      <c r="B41" s="87" t="s">
        <v>119</v>
      </c>
      <c r="C41" s="89">
        <f>16*C39/100</f>
        <v>5.6</v>
      </c>
      <c r="D41" s="89">
        <f t="shared" ref="D41:G41" si="12">16*D39/100</f>
        <v>5.6</v>
      </c>
      <c r="E41" s="89">
        <f t="shared" si="12"/>
        <v>5.6</v>
      </c>
      <c r="F41" s="89">
        <f t="shared" si="12"/>
        <v>5.6</v>
      </c>
      <c r="G41" s="89">
        <f t="shared" si="12"/>
        <v>5.6</v>
      </c>
      <c r="H41" s="1"/>
    </row>
    <row r="42" spans="2:8" ht="63" x14ac:dyDescent="0.3">
      <c r="B42" s="119" t="s">
        <v>43</v>
      </c>
      <c r="C42" s="120">
        <f>1*35</f>
        <v>35</v>
      </c>
      <c r="D42" s="120">
        <f t="shared" ref="D42:G42" si="13">1*35</f>
        <v>35</v>
      </c>
      <c r="E42" s="120">
        <f t="shared" si="13"/>
        <v>35</v>
      </c>
      <c r="F42" s="120">
        <f t="shared" si="13"/>
        <v>35</v>
      </c>
      <c r="G42" s="120">
        <f t="shared" si="13"/>
        <v>35</v>
      </c>
      <c r="H42" s="1"/>
    </row>
    <row r="43" spans="2:8" ht="48" x14ac:dyDescent="0.3">
      <c r="B43" s="87" t="s">
        <v>6</v>
      </c>
      <c r="C43" s="92" t="s">
        <v>71</v>
      </c>
      <c r="D43" s="92" t="s">
        <v>71</v>
      </c>
      <c r="E43" s="92" t="s">
        <v>71</v>
      </c>
      <c r="F43" s="92" t="s">
        <v>71</v>
      </c>
      <c r="G43" s="92" t="s">
        <v>71</v>
      </c>
      <c r="H43" s="1"/>
    </row>
    <row r="44" spans="2:8" ht="18.75" x14ac:dyDescent="0.3">
      <c r="B44" s="87" t="s">
        <v>119</v>
      </c>
      <c r="C44" s="58">
        <f>16*C42/100</f>
        <v>5.6</v>
      </c>
      <c r="D44" s="58">
        <f t="shared" ref="D44:G44" si="14">16*D42/100</f>
        <v>5.6</v>
      </c>
      <c r="E44" s="58">
        <f t="shared" si="14"/>
        <v>5.6</v>
      </c>
      <c r="F44" s="58">
        <f t="shared" si="14"/>
        <v>5.6</v>
      </c>
      <c r="G44" s="58">
        <f t="shared" si="14"/>
        <v>5.6</v>
      </c>
      <c r="H44" s="1"/>
    </row>
    <row r="45" spans="2:8" ht="63" x14ac:dyDescent="0.3">
      <c r="B45" s="107" t="s">
        <v>44</v>
      </c>
      <c r="C45" s="58">
        <f>0*15</f>
        <v>0</v>
      </c>
      <c r="D45" s="58">
        <f t="shared" ref="D45:G45" si="15">0*15</f>
        <v>0</v>
      </c>
      <c r="E45" s="58">
        <f t="shared" si="15"/>
        <v>0</v>
      </c>
      <c r="F45" s="58">
        <f t="shared" si="15"/>
        <v>0</v>
      </c>
      <c r="G45" s="58">
        <f t="shared" si="15"/>
        <v>0</v>
      </c>
      <c r="H45" s="1"/>
    </row>
    <row r="46" spans="2:8" ht="95.25" x14ac:dyDescent="0.3">
      <c r="B46" s="87" t="s">
        <v>6</v>
      </c>
      <c r="C46" s="91" t="s">
        <v>72</v>
      </c>
      <c r="D46" s="92" t="s">
        <v>72</v>
      </c>
      <c r="E46" s="91" t="s">
        <v>72</v>
      </c>
      <c r="F46" s="92" t="s">
        <v>72</v>
      </c>
      <c r="G46" s="91" t="s">
        <v>72</v>
      </c>
      <c r="H46" s="1"/>
    </row>
    <row r="47" spans="2:8" ht="18.75" x14ac:dyDescent="0.3">
      <c r="B47" s="87" t="s">
        <v>119</v>
      </c>
      <c r="C47" s="59">
        <f>16*C45/100</f>
        <v>0</v>
      </c>
      <c r="D47" s="59">
        <f t="shared" ref="D47:G47" si="16">16*D45/100</f>
        <v>0</v>
      </c>
      <c r="E47" s="59">
        <f t="shared" si="16"/>
        <v>0</v>
      </c>
      <c r="F47" s="59">
        <f t="shared" si="16"/>
        <v>0</v>
      </c>
      <c r="G47" s="59">
        <f t="shared" si="16"/>
        <v>0</v>
      </c>
      <c r="H47" s="1"/>
    </row>
    <row r="48" spans="2:8" ht="94.5" x14ac:dyDescent="0.3">
      <c r="B48" s="88" t="s">
        <v>45</v>
      </c>
      <c r="C48" s="59">
        <f>1*15</f>
        <v>15</v>
      </c>
      <c r="D48" s="59">
        <f>0.5*15</f>
        <v>7.5</v>
      </c>
      <c r="E48" s="59">
        <f t="shared" ref="E48" si="17">1*15</f>
        <v>15</v>
      </c>
      <c r="F48" s="59">
        <f>0.5*15</f>
        <v>7.5</v>
      </c>
      <c r="G48" s="59">
        <f>0.5*15</f>
        <v>7.5</v>
      </c>
      <c r="H48" s="1"/>
    </row>
    <row r="49" spans="1:8" ht="48" x14ac:dyDescent="0.3">
      <c r="B49" s="87" t="s">
        <v>6</v>
      </c>
      <c r="C49" s="92" t="s">
        <v>236</v>
      </c>
      <c r="D49" s="92" t="s">
        <v>73</v>
      </c>
      <c r="E49" s="92" t="s">
        <v>73</v>
      </c>
      <c r="F49" s="92" t="s">
        <v>178</v>
      </c>
      <c r="G49" s="92" t="s">
        <v>178</v>
      </c>
      <c r="H49" s="1"/>
    </row>
    <row r="50" spans="1:8" ht="18.75" x14ac:dyDescent="0.3">
      <c r="B50" s="87" t="s">
        <v>119</v>
      </c>
      <c r="C50" s="59">
        <f>16*C48/100</f>
        <v>2.4</v>
      </c>
      <c r="D50" s="59">
        <f t="shared" ref="D50:G50" si="18">16*D48/100</f>
        <v>1.2</v>
      </c>
      <c r="E50" s="59">
        <f t="shared" si="18"/>
        <v>2.4</v>
      </c>
      <c r="F50" s="59">
        <f t="shared" si="18"/>
        <v>1.2</v>
      </c>
      <c r="G50" s="59">
        <f t="shared" si="18"/>
        <v>1.2</v>
      </c>
      <c r="H50" s="1"/>
    </row>
    <row r="51" spans="1:8" ht="19.5" thickBot="1" x14ac:dyDescent="0.35">
      <c r="B51" s="230" t="s">
        <v>123</v>
      </c>
      <c r="C51" s="228"/>
      <c r="D51" s="228"/>
      <c r="E51" s="228"/>
      <c r="F51" s="228"/>
      <c r="G51" s="229"/>
      <c r="H51" s="1"/>
    </row>
    <row r="52" spans="1:8" ht="31.5" x14ac:dyDescent="0.3">
      <c r="B52" s="121" t="s">
        <v>46</v>
      </c>
      <c r="C52" s="59">
        <f>1*10</f>
        <v>10</v>
      </c>
      <c r="D52" s="59">
        <f t="shared" ref="D52:F52" si="19">1*10</f>
        <v>10</v>
      </c>
      <c r="E52" s="59">
        <f t="shared" si="19"/>
        <v>10</v>
      </c>
      <c r="F52" s="59">
        <f t="shared" si="19"/>
        <v>10</v>
      </c>
      <c r="G52" s="59">
        <f>1*10</f>
        <v>10</v>
      </c>
      <c r="H52" s="1"/>
    </row>
    <row r="53" spans="1:8" ht="78.75" x14ac:dyDescent="0.3">
      <c r="B53" s="122" t="s">
        <v>173</v>
      </c>
      <c r="C53" s="96" t="s">
        <v>229</v>
      </c>
      <c r="D53" s="96" t="s">
        <v>231</v>
      </c>
      <c r="E53" s="96" t="s">
        <v>230</v>
      </c>
      <c r="F53" s="96" t="s">
        <v>230</v>
      </c>
      <c r="G53" s="96" t="s">
        <v>232</v>
      </c>
      <c r="H53" s="1"/>
    </row>
    <row r="54" spans="1:8" ht="18.75" x14ac:dyDescent="0.3">
      <c r="B54" s="87" t="s">
        <v>119</v>
      </c>
      <c r="C54" s="59">
        <f>16*C52/100</f>
        <v>1.6</v>
      </c>
      <c r="D54" s="59">
        <f t="shared" ref="D54:G54" si="20">16*D52/100</f>
        <v>1.6</v>
      </c>
      <c r="E54" s="59">
        <f t="shared" si="20"/>
        <v>1.6</v>
      </c>
      <c r="F54" s="59">
        <f t="shared" si="20"/>
        <v>1.6</v>
      </c>
      <c r="G54" s="59">
        <f t="shared" si="20"/>
        <v>1.6</v>
      </c>
      <c r="H54" s="1"/>
    </row>
    <row r="55" spans="1:8" ht="47.25" x14ac:dyDescent="0.3">
      <c r="A55" t="s">
        <v>22</v>
      </c>
      <c r="B55" s="88" t="s">
        <v>47</v>
      </c>
      <c r="C55" s="59">
        <v>0</v>
      </c>
      <c r="D55" s="59">
        <f t="shared" ref="D55:E55" si="21">1*60</f>
        <v>60</v>
      </c>
      <c r="E55" s="59">
        <f t="shared" si="21"/>
        <v>60</v>
      </c>
      <c r="F55" s="59">
        <f>1*60</f>
        <v>60</v>
      </c>
      <c r="G55" s="59">
        <f>1*60</f>
        <v>60</v>
      </c>
      <c r="H55" s="1"/>
    </row>
    <row r="56" spans="1:8" ht="63" x14ac:dyDescent="0.3">
      <c r="B56" s="87" t="s">
        <v>6</v>
      </c>
      <c r="C56" s="93" t="s">
        <v>74</v>
      </c>
      <c r="D56" s="123" t="s">
        <v>235</v>
      </c>
      <c r="E56" s="123" t="s">
        <v>235</v>
      </c>
      <c r="F56" s="93" t="s">
        <v>170</v>
      </c>
      <c r="G56" s="93" t="s">
        <v>170</v>
      </c>
      <c r="H56" s="1"/>
    </row>
    <row r="57" spans="1:8" ht="18.75" x14ac:dyDescent="0.3">
      <c r="B57" s="87" t="s">
        <v>119</v>
      </c>
      <c r="C57" s="58">
        <f>16*C55/100</f>
        <v>0</v>
      </c>
      <c r="D57" s="58">
        <f t="shared" ref="D57:G57" si="22">16*D55/100</f>
        <v>9.6</v>
      </c>
      <c r="E57" s="58">
        <f t="shared" si="22"/>
        <v>9.6</v>
      </c>
      <c r="F57" s="58">
        <f t="shared" si="22"/>
        <v>9.6</v>
      </c>
      <c r="G57" s="58">
        <f t="shared" si="22"/>
        <v>9.6</v>
      </c>
      <c r="H57" s="1"/>
    </row>
    <row r="58" spans="1:8" ht="18.75" x14ac:dyDescent="0.3">
      <c r="B58" s="107" t="s">
        <v>48</v>
      </c>
      <c r="C58" s="58">
        <f>1*15</f>
        <v>15</v>
      </c>
      <c r="D58" s="58">
        <f t="shared" ref="D58:G58" si="23">1*15</f>
        <v>15</v>
      </c>
      <c r="E58" s="58">
        <f t="shared" si="23"/>
        <v>15</v>
      </c>
      <c r="F58" s="58">
        <f t="shared" si="23"/>
        <v>15</v>
      </c>
      <c r="G58" s="58">
        <f t="shared" si="23"/>
        <v>15</v>
      </c>
      <c r="H58" s="1"/>
    </row>
    <row r="59" spans="1:8" ht="68.25" customHeight="1" x14ac:dyDescent="0.3">
      <c r="B59" s="124" t="s">
        <v>233</v>
      </c>
      <c r="C59" s="93" t="s">
        <v>75</v>
      </c>
      <c r="D59" s="92" t="s">
        <v>75</v>
      </c>
      <c r="E59" s="93" t="s">
        <v>75</v>
      </c>
      <c r="F59" s="92" t="s">
        <v>75</v>
      </c>
      <c r="G59" s="93" t="s">
        <v>75</v>
      </c>
      <c r="H59" s="1"/>
    </row>
    <row r="60" spans="1:8" ht="18.75" x14ac:dyDescent="0.3">
      <c r="B60" s="87" t="s">
        <v>119</v>
      </c>
      <c r="C60" s="58">
        <f>16*C58/100</f>
        <v>2.4</v>
      </c>
      <c r="D60" s="58">
        <f t="shared" ref="D60:G60" si="24">16*D58/100</f>
        <v>2.4</v>
      </c>
      <c r="E60" s="58">
        <f t="shared" si="24"/>
        <v>2.4</v>
      </c>
      <c r="F60" s="58">
        <f t="shared" si="24"/>
        <v>2.4</v>
      </c>
      <c r="G60" s="58">
        <f t="shared" si="24"/>
        <v>2.4</v>
      </c>
      <c r="H60" s="1"/>
    </row>
    <row r="61" spans="1:8" ht="48" x14ac:dyDescent="0.3">
      <c r="B61" s="62" t="s">
        <v>49</v>
      </c>
      <c r="C61" s="58">
        <f>1*15</f>
        <v>15</v>
      </c>
      <c r="D61" s="58">
        <f t="shared" ref="D61:G61" si="25">1*15</f>
        <v>15</v>
      </c>
      <c r="E61" s="58">
        <f t="shared" si="25"/>
        <v>15</v>
      </c>
      <c r="F61" s="58">
        <f t="shared" si="25"/>
        <v>15</v>
      </c>
      <c r="G61" s="58">
        <f t="shared" si="25"/>
        <v>15</v>
      </c>
      <c r="H61" s="1"/>
    </row>
    <row r="62" spans="1:8" ht="79.5" x14ac:dyDescent="0.3">
      <c r="B62" s="124" t="s">
        <v>234</v>
      </c>
      <c r="C62" s="59" t="s">
        <v>76</v>
      </c>
      <c r="D62" s="59" t="s">
        <v>76</v>
      </c>
      <c r="E62" s="59" t="s">
        <v>76</v>
      </c>
      <c r="F62" s="59" t="s">
        <v>76</v>
      </c>
      <c r="G62" s="59" t="s">
        <v>76</v>
      </c>
      <c r="H62" s="1"/>
    </row>
    <row r="63" spans="1:8" ht="18.75" x14ac:dyDescent="0.3">
      <c r="B63" s="87" t="s">
        <v>119</v>
      </c>
      <c r="C63" s="59">
        <f>16*C61/100</f>
        <v>2.4</v>
      </c>
      <c r="D63" s="59">
        <f t="shared" ref="D63:G63" si="26">16*D61/100</f>
        <v>2.4</v>
      </c>
      <c r="E63" s="59">
        <f t="shared" si="26"/>
        <v>2.4</v>
      </c>
      <c r="F63" s="59">
        <f t="shared" si="26"/>
        <v>2.4</v>
      </c>
      <c r="G63" s="59">
        <f t="shared" si="26"/>
        <v>2.4</v>
      </c>
      <c r="H63" s="1"/>
    </row>
    <row r="64" spans="1:8" ht="18.75" x14ac:dyDescent="0.3">
      <c r="B64" s="218" t="s">
        <v>124</v>
      </c>
      <c r="C64" s="218"/>
      <c r="D64" s="218"/>
      <c r="E64" s="218"/>
      <c r="F64" s="218"/>
      <c r="G64" s="218"/>
      <c r="H64" s="1"/>
    </row>
    <row r="65" spans="2:8" ht="31.5" x14ac:dyDescent="0.3">
      <c r="B65" s="107" t="s">
        <v>50</v>
      </c>
      <c r="C65" s="59">
        <f>1*50</f>
        <v>50</v>
      </c>
      <c r="D65" s="59">
        <f t="shared" ref="D65:G65" si="27">1*50</f>
        <v>50</v>
      </c>
      <c r="E65" s="59">
        <f t="shared" si="27"/>
        <v>50</v>
      </c>
      <c r="F65" s="59">
        <f t="shared" si="27"/>
        <v>50</v>
      </c>
      <c r="G65" s="59">
        <f t="shared" si="27"/>
        <v>50</v>
      </c>
      <c r="H65" s="1"/>
    </row>
    <row r="66" spans="2:8" ht="48" x14ac:dyDescent="0.3">
      <c r="B66" s="87" t="s">
        <v>6</v>
      </c>
      <c r="C66" s="92" t="s">
        <v>77</v>
      </c>
      <c r="D66" s="96" t="s">
        <v>90</v>
      </c>
      <c r="E66" s="96" t="s">
        <v>90</v>
      </c>
      <c r="F66" s="96" t="s">
        <v>90</v>
      </c>
      <c r="G66" s="96" t="s">
        <v>100</v>
      </c>
      <c r="H66" s="1"/>
    </row>
    <row r="67" spans="2:8" ht="18.75" x14ac:dyDescent="0.3">
      <c r="B67" s="87" t="s">
        <v>119</v>
      </c>
      <c r="C67" s="59">
        <f>10*C65/100</f>
        <v>5</v>
      </c>
      <c r="D67" s="59">
        <f t="shared" ref="D67:G67" si="28">10*D65/100</f>
        <v>5</v>
      </c>
      <c r="E67" s="59">
        <f t="shared" si="28"/>
        <v>5</v>
      </c>
      <c r="F67" s="59">
        <f t="shared" si="28"/>
        <v>5</v>
      </c>
      <c r="G67" s="59">
        <f t="shared" si="28"/>
        <v>5</v>
      </c>
      <c r="H67" s="1"/>
    </row>
    <row r="68" spans="2:8" ht="47.25" x14ac:dyDescent="0.3">
      <c r="B68" s="88" t="s">
        <v>51</v>
      </c>
      <c r="C68" s="94">
        <f>1*50</f>
        <v>50</v>
      </c>
      <c r="D68" s="94">
        <f t="shared" ref="D68:G68" si="29">1*50</f>
        <v>50</v>
      </c>
      <c r="E68" s="94">
        <f t="shared" si="29"/>
        <v>50</v>
      </c>
      <c r="F68" s="94">
        <f t="shared" si="29"/>
        <v>50</v>
      </c>
      <c r="G68" s="94">
        <f t="shared" si="29"/>
        <v>50</v>
      </c>
      <c r="H68" s="1"/>
    </row>
    <row r="69" spans="2:8" ht="63.75" x14ac:dyDescent="0.3">
      <c r="B69" s="87" t="s">
        <v>6</v>
      </c>
      <c r="C69" s="92" t="s">
        <v>79</v>
      </c>
      <c r="D69" s="92" t="s">
        <v>79</v>
      </c>
      <c r="E69" s="92" t="s">
        <v>79</v>
      </c>
      <c r="F69" s="92" t="s">
        <v>79</v>
      </c>
      <c r="G69" s="92" t="s">
        <v>79</v>
      </c>
      <c r="H69" s="1"/>
    </row>
    <row r="70" spans="2:8" ht="18.75" x14ac:dyDescent="0.3">
      <c r="B70" s="87" t="s">
        <v>119</v>
      </c>
      <c r="C70" s="59">
        <f>10*C68/100</f>
        <v>5</v>
      </c>
      <c r="D70" s="59">
        <f t="shared" ref="D70:G70" si="30">10*D68/100</f>
        <v>5</v>
      </c>
      <c r="E70" s="59">
        <f t="shared" si="30"/>
        <v>5</v>
      </c>
      <c r="F70" s="59">
        <f t="shared" si="30"/>
        <v>5</v>
      </c>
      <c r="G70" s="59">
        <f t="shared" si="30"/>
        <v>5</v>
      </c>
      <c r="H70" s="1"/>
    </row>
    <row r="71" spans="2:8" ht="18.75" x14ac:dyDescent="0.3">
      <c r="B71" s="218" t="s">
        <v>125</v>
      </c>
      <c r="C71" s="218"/>
      <c r="D71" s="218"/>
      <c r="E71" s="218"/>
      <c r="F71" s="218"/>
      <c r="G71" s="218"/>
      <c r="H71" s="1"/>
    </row>
    <row r="72" spans="2:8" ht="78.75" x14ac:dyDescent="0.3">
      <c r="B72" s="107" t="s">
        <v>52</v>
      </c>
      <c r="C72" s="59">
        <f>1*50</f>
        <v>50</v>
      </c>
      <c r="D72" s="59">
        <f t="shared" ref="D72:G72" si="31">1*50</f>
        <v>50</v>
      </c>
      <c r="E72" s="59">
        <f t="shared" si="31"/>
        <v>50</v>
      </c>
      <c r="F72" s="59">
        <f t="shared" si="31"/>
        <v>50</v>
      </c>
      <c r="G72" s="59">
        <f t="shared" si="31"/>
        <v>50</v>
      </c>
      <c r="H72" s="1"/>
    </row>
    <row r="73" spans="2:8" ht="54" customHeight="1" x14ac:dyDescent="0.3">
      <c r="B73" s="87" t="s">
        <v>6</v>
      </c>
      <c r="C73" s="95" t="s">
        <v>78</v>
      </c>
      <c r="D73" s="96" t="s">
        <v>78</v>
      </c>
      <c r="E73" s="95" t="s">
        <v>78</v>
      </c>
      <c r="F73" s="96" t="s">
        <v>78</v>
      </c>
      <c r="G73" s="125" t="s">
        <v>78</v>
      </c>
      <c r="H73" s="1"/>
    </row>
    <row r="74" spans="2:8" ht="18.75" x14ac:dyDescent="0.3">
      <c r="B74" s="87" t="s">
        <v>119</v>
      </c>
      <c r="C74" s="59">
        <f>8*C72/100</f>
        <v>4</v>
      </c>
      <c r="D74" s="59">
        <f t="shared" ref="D74:G74" si="32">8*D72/100</f>
        <v>4</v>
      </c>
      <c r="E74" s="59">
        <f t="shared" si="32"/>
        <v>4</v>
      </c>
      <c r="F74" s="59">
        <f t="shared" si="32"/>
        <v>4</v>
      </c>
      <c r="G74" s="59">
        <f t="shared" si="32"/>
        <v>4</v>
      </c>
      <c r="H74" s="1"/>
    </row>
    <row r="75" spans="2:8" ht="94.5" x14ac:dyDescent="0.3">
      <c r="B75" s="107" t="s">
        <v>53</v>
      </c>
      <c r="C75" s="59">
        <f>1*50</f>
        <v>50</v>
      </c>
      <c r="D75" s="59">
        <f t="shared" ref="D75:E75" si="33">1*50</f>
        <v>50</v>
      </c>
      <c r="E75" s="59">
        <f t="shared" si="33"/>
        <v>50</v>
      </c>
      <c r="F75" s="59">
        <f>1*50</f>
        <v>50</v>
      </c>
      <c r="G75" s="59">
        <f>1*50</f>
        <v>50</v>
      </c>
      <c r="H75" s="1"/>
    </row>
    <row r="76" spans="2:8" ht="47.25" x14ac:dyDescent="0.3">
      <c r="B76" s="87" t="s">
        <v>6</v>
      </c>
      <c r="C76" s="95" t="s">
        <v>78</v>
      </c>
      <c r="D76" s="96" t="s">
        <v>78</v>
      </c>
      <c r="E76" s="95" t="s">
        <v>78</v>
      </c>
      <c r="F76" s="96" t="s">
        <v>101</v>
      </c>
      <c r="G76" s="96" t="s">
        <v>101</v>
      </c>
      <c r="H76" s="1"/>
    </row>
    <row r="77" spans="2:8" ht="18.75" x14ac:dyDescent="0.3">
      <c r="B77" s="87" t="s">
        <v>119</v>
      </c>
      <c r="C77" s="59">
        <f>8*C75/100</f>
        <v>4</v>
      </c>
      <c r="D77" s="59">
        <f t="shared" ref="D77:G77" si="34">8*D75/100</f>
        <v>4</v>
      </c>
      <c r="E77" s="59">
        <f t="shared" si="34"/>
        <v>4</v>
      </c>
      <c r="F77" s="59">
        <f t="shared" si="34"/>
        <v>4</v>
      </c>
      <c r="G77" s="59">
        <f t="shared" si="34"/>
        <v>4</v>
      </c>
      <c r="H77" s="1"/>
    </row>
    <row r="78" spans="2:8" ht="33.75" x14ac:dyDescent="0.3">
      <c r="B78" s="126" t="s">
        <v>58</v>
      </c>
      <c r="C78" s="127">
        <f>C6+C9+C12+C15+C18+C22+C25+C28+C31+C34+C37+C41+C44+C47+C50+C54+C57+C60+C63+C67+C70+C74+C77</f>
        <v>71.87</v>
      </c>
      <c r="D78" s="127">
        <f t="shared" ref="D78:G78" si="35">D6+D9+D12+D15+D18+D22+D25+D28+D31+D34+D37+D41+D44+D47+D50+D54+D57+D60+D63+D67+D70+D74+D77</f>
        <v>81.400000000000006</v>
      </c>
      <c r="E78" s="127">
        <f t="shared" si="35"/>
        <v>87.975000000000009</v>
      </c>
      <c r="F78" s="128">
        <f t="shared" si="35"/>
        <v>85.944500000000019</v>
      </c>
      <c r="G78" s="127">
        <f t="shared" si="35"/>
        <v>83.807500000000005</v>
      </c>
      <c r="H78" s="1"/>
    </row>
    <row r="79" spans="2:8" ht="18.75" x14ac:dyDescent="0.3">
      <c r="B79" s="129" t="s">
        <v>55</v>
      </c>
      <c r="C79" s="130" t="s">
        <v>191</v>
      </c>
      <c r="D79" s="130" t="s">
        <v>200</v>
      </c>
      <c r="E79" s="130" t="s">
        <v>189</v>
      </c>
      <c r="F79" s="130" t="s">
        <v>240</v>
      </c>
      <c r="G79" s="130" t="s">
        <v>241</v>
      </c>
      <c r="H79" s="1"/>
    </row>
    <row r="80" spans="2:8" ht="33.75" x14ac:dyDescent="0.3">
      <c r="B80" s="126" t="s">
        <v>54</v>
      </c>
      <c r="C80" s="224">
        <f>(C78+D78+E78+F78+G78)/5</f>
        <v>82.199399999999997</v>
      </c>
      <c r="D80" s="225"/>
      <c r="E80" s="225"/>
      <c r="F80" s="225"/>
      <c r="G80" s="226"/>
      <c r="H80" s="1"/>
    </row>
    <row r="81" spans="2:8" ht="75" x14ac:dyDescent="0.3">
      <c r="B81" s="131" t="s">
        <v>57</v>
      </c>
      <c r="C81" s="132">
        <f>100-C78</f>
        <v>28.129999999999995</v>
      </c>
      <c r="D81" s="132">
        <f t="shared" ref="D81:G81" si="36">100-D78</f>
        <v>18.599999999999994</v>
      </c>
      <c r="E81" s="132">
        <f t="shared" si="36"/>
        <v>12.024999999999991</v>
      </c>
      <c r="F81" s="132">
        <f t="shared" si="36"/>
        <v>14.055499999999981</v>
      </c>
      <c r="G81" s="132">
        <f t="shared" si="36"/>
        <v>16.192499999999995</v>
      </c>
      <c r="H81" s="1"/>
    </row>
    <row r="82" spans="2:8" ht="94.5" x14ac:dyDescent="0.25">
      <c r="B82" s="126" t="s">
        <v>61</v>
      </c>
      <c r="C82" s="133" t="s">
        <v>115</v>
      </c>
      <c r="D82" s="133" t="s">
        <v>115</v>
      </c>
      <c r="E82" s="133" t="s">
        <v>115</v>
      </c>
      <c r="F82" s="133" t="s">
        <v>115</v>
      </c>
      <c r="G82" s="133" t="s">
        <v>115</v>
      </c>
    </row>
    <row r="84" spans="2:8" ht="18.75" x14ac:dyDescent="0.3">
      <c r="B84" s="108" t="s">
        <v>116</v>
      </c>
      <c r="C84" s="108"/>
      <c r="D84" s="108"/>
      <c r="E84" s="108"/>
      <c r="F84" s="108"/>
      <c r="G84" s="108"/>
    </row>
    <row r="85" spans="2:8" ht="18.75" x14ac:dyDescent="0.3">
      <c r="B85" s="108" t="s">
        <v>117</v>
      </c>
      <c r="C85" s="108"/>
      <c r="D85" s="108"/>
      <c r="E85" s="108"/>
      <c r="F85" s="108"/>
      <c r="G85" s="108" t="s">
        <v>118</v>
      </c>
    </row>
    <row r="87" spans="2:8" ht="16.5" x14ac:dyDescent="0.25">
      <c r="B87" s="71" t="s">
        <v>185</v>
      </c>
    </row>
  </sheetData>
  <mergeCells count="8">
    <mergeCell ref="C80:G80"/>
    <mergeCell ref="B71:G71"/>
    <mergeCell ref="B1:G1"/>
    <mergeCell ref="B3:G3"/>
    <mergeCell ref="B19:G19"/>
    <mergeCell ref="B38:G38"/>
    <mergeCell ref="B51:G51"/>
    <mergeCell ref="B64:G64"/>
  </mergeCells>
  <pageMargins left="0.35433070866141736" right="0" top="0.59055118110236227" bottom="0.59055118110236227" header="0.51181102362204722" footer="0.51181102362204722"/>
  <pageSetup paperSize="9" scale="8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view="pageBreakPreview" zoomScale="85" zoomScaleNormal="100" zoomScaleSheetLayoutView="85" workbookViewId="0">
      <selection activeCell="D8" sqref="D8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214" t="s">
        <v>242</v>
      </c>
      <c r="C2" s="214"/>
      <c r="D2" s="214"/>
      <c r="E2" s="214"/>
      <c r="F2" s="214"/>
      <c r="G2" s="214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 x14ac:dyDescent="0.3">
      <c r="B4" s="14" t="s">
        <v>27</v>
      </c>
      <c r="C4" s="134">
        <v>0.5</v>
      </c>
      <c r="D4" s="134">
        <v>0.5</v>
      </c>
      <c r="E4" s="134">
        <v>1</v>
      </c>
      <c r="F4" s="134">
        <v>1</v>
      </c>
      <c r="G4" s="134">
        <v>0.5</v>
      </c>
      <c r="H4" s="1"/>
    </row>
    <row r="5" spans="2:8" ht="18.75" x14ac:dyDescent="0.3">
      <c r="B5" s="12" t="s">
        <v>6</v>
      </c>
      <c r="C5" s="135">
        <v>7</v>
      </c>
      <c r="D5" s="136">
        <v>1</v>
      </c>
      <c r="E5" s="136">
        <v>0</v>
      </c>
      <c r="F5" s="136">
        <v>0</v>
      </c>
      <c r="G5" s="136">
        <v>9</v>
      </c>
      <c r="H5" s="1"/>
    </row>
    <row r="6" spans="2:8" ht="18.75" x14ac:dyDescent="0.3">
      <c r="B6" s="12" t="s">
        <v>26</v>
      </c>
      <c r="C6" s="136">
        <v>12.5</v>
      </c>
      <c r="D6" s="136">
        <v>12.5</v>
      </c>
      <c r="E6" s="136">
        <v>25</v>
      </c>
      <c r="F6" s="136">
        <v>25</v>
      </c>
      <c r="G6" s="136">
        <v>12.5</v>
      </c>
      <c r="H6" s="1"/>
    </row>
    <row r="7" spans="2:8" ht="63" x14ac:dyDescent="0.3">
      <c r="B7" s="2" t="s">
        <v>30</v>
      </c>
      <c r="C7" s="137">
        <v>0</v>
      </c>
      <c r="D7" s="136">
        <v>1</v>
      </c>
      <c r="E7" s="136">
        <v>1</v>
      </c>
      <c r="F7" s="136">
        <v>1</v>
      </c>
      <c r="G7" s="136">
        <v>1</v>
      </c>
      <c r="H7" s="1"/>
    </row>
    <row r="8" spans="2:8" ht="71.25" customHeight="1" x14ac:dyDescent="0.3">
      <c r="B8" s="12" t="s">
        <v>6</v>
      </c>
      <c r="C8" s="138" t="s">
        <v>243</v>
      </c>
      <c r="D8" s="139" t="s">
        <v>63</v>
      </c>
      <c r="E8" s="139"/>
      <c r="F8" s="139"/>
      <c r="G8" s="139"/>
      <c r="H8" s="1"/>
    </row>
    <row r="9" spans="2:8" ht="18.75" x14ac:dyDescent="0.3">
      <c r="B9" s="12" t="s">
        <v>26</v>
      </c>
      <c r="C9" s="135">
        <v>0</v>
      </c>
      <c r="D9" s="136">
        <v>25</v>
      </c>
      <c r="E9" s="136">
        <v>25</v>
      </c>
      <c r="F9" s="136">
        <v>25</v>
      </c>
      <c r="G9" s="136">
        <v>25</v>
      </c>
      <c r="H9" s="1"/>
    </row>
    <row r="10" spans="2:8" ht="63.75" x14ac:dyDescent="0.3">
      <c r="B10" s="7" t="s">
        <v>29</v>
      </c>
      <c r="C10" s="135">
        <v>1</v>
      </c>
      <c r="D10" s="136">
        <v>1</v>
      </c>
      <c r="E10" s="136">
        <v>1</v>
      </c>
      <c r="F10" s="136">
        <v>1</v>
      </c>
      <c r="G10" s="136">
        <v>1</v>
      </c>
      <c r="H10" s="1"/>
    </row>
    <row r="11" spans="2:8" ht="18.75" x14ac:dyDescent="0.3">
      <c r="B11" s="12" t="s">
        <v>6</v>
      </c>
      <c r="C11" s="135" t="s">
        <v>64</v>
      </c>
      <c r="D11" s="139"/>
      <c r="E11" s="139"/>
      <c r="F11" s="139"/>
      <c r="G11" s="139"/>
      <c r="H11" s="1"/>
    </row>
    <row r="12" spans="2:8" ht="18.75" x14ac:dyDescent="0.3">
      <c r="B12" s="12" t="s">
        <v>26</v>
      </c>
      <c r="C12" s="135">
        <v>20</v>
      </c>
      <c r="D12" s="136">
        <v>20</v>
      </c>
      <c r="E12" s="136">
        <v>20</v>
      </c>
      <c r="F12" s="136">
        <v>20</v>
      </c>
      <c r="G12" s="136">
        <v>20</v>
      </c>
      <c r="H12" s="1"/>
    </row>
    <row r="13" spans="2:8" ht="79.5" x14ac:dyDescent="0.3">
      <c r="B13" s="7" t="s">
        <v>28</v>
      </c>
      <c r="C13" s="140">
        <v>1</v>
      </c>
      <c r="D13" s="140">
        <v>1</v>
      </c>
      <c r="E13" s="140">
        <v>1</v>
      </c>
      <c r="F13" s="140">
        <v>1</v>
      </c>
      <c r="G13" s="140">
        <v>1</v>
      </c>
      <c r="H13" s="1"/>
    </row>
    <row r="14" spans="2:8" ht="51.75" x14ac:dyDescent="0.3">
      <c r="B14" s="12" t="s">
        <v>6</v>
      </c>
      <c r="C14" s="141" t="s">
        <v>59</v>
      </c>
      <c r="D14" s="142" t="s">
        <v>59</v>
      </c>
      <c r="E14" s="142" t="s">
        <v>59</v>
      </c>
      <c r="F14" s="142" t="s">
        <v>59</v>
      </c>
      <c r="G14" s="141" t="s">
        <v>59</v>
      </c>
      <c r="H14" s="1"/>
    </row>
    <row r="15" spans="2:8" ht="18.75" x14ac:dyDescent="0.3">
      <c r="B15" s="12" t="s">
        <v>26</v>
      </c>
      <c r="C15" s="134">
        <f>30*1</f>
        <v>30</v>
      </c>
      <c r="D15" s="134">
        <f t="shared" ref="D15:G15" si="0">30*1</f>
        <v>30</v>
      </c>
      <c r="E15" s="134">
        <f t="shared" si="0"/>
        <v>30</v>
      </c>
      <c r="F15" s="134">
        <f t="shared" si="0"/>
        <v>30</v>
      </c>
      <c r="G15" s="134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62.5</v>
      </c>
      <c r="D16" s="39">
        <f t="shared" ref="D16:G16" si="1">D6+D9+D12+D15</f>
        <v>87.5</v>
      </c>
      <c r="E16" s="39">
        <f t="shared" si="1"/>
        <v>100</v>
      </c>
      <c r="F16" s="39">
        <f t="shared" si="1"/>
        <v>100</v>
      </c>
      <c r="G16" s="39">
        <f t="shared" si="1"/>
        <v>87.5</v>
      </c>
      <c r="H16" s="1"/>
    </row>
    <row r="17" spans="2:8" ht="18.75" x14ac:dyDescent="0.3">
      <c r="B17" s="37" t="s">
        <v>55</v>
      </c>
      <c r="C17" s="40" t="s">
        <v>191</v>
      </c>
      <c r="D17" s="40" t="s">
        <v>245</v>
      </c>
      <c r="E17" s="40" t="s">
        <v>244</v>
      </c>
      <c r="F17" s="40" t="s">
        <v>244</v>
      </c>
      <c r="G17" s="40" t="s">
        <v>245</v>
      </c>
      <c r="H17" s="1"/>
    </row>
    <row r="18" spans="2:8" ht="33.75" x14ac:dyDescent="0.3">
      <c r="B18" s="53" t="s">
        <v>54</v>
      </c>
      <c r="C18" s="215">
        <f>(C16+D16+E16+F16+G16)/5</f>
        <v>87.5</v>
      </c>
      <c r="D18" s="216"/>
      <c r="E18" s="216"/>
      <c r="F18" s="216"/>
      <c r="G18" s="217"/>
      <c r="H18" s="1"/>
    </row>
    <row r="19" spans="2:8" ht="93.75" x14ac:dyDescent="0.3">
      <c r="B19" s="38" t="s">
        <v>57</v>
      </c>
      <c r="C19" s="48">
        <f>100-C16</f>
        <v>37.5</v>
      </c>
      <c r="D19" s="48">
        <f t="shared" ref="D19:G19" si="2">100-D16</f>
        <v>12.5</v>
      </c>
      <c r="E19" s="48">
        <f t="shared" si="2"/>
        <v>0</v>
      </c>
      <c r="F19" s="48">
        <f t="shared" si="2"/>
        <v>0</v>
      </c>
      <c r="G19" s="48">
        <f t="shared" si="2"/>
        <v>12.5</v>
      </c>
      <c r="H19" s="1"/>
    </row>
    <row r="20" spans="2:8" ht="69" customHeight="1" x14ac:dyDescent="0.3">
      <c r="B20" s="54" t="s">
        <v>61</v>
      </c>
      <c r="C20" s="44" t="s">
        <v>246</v>
      </c>
      <c r="D20" s="44" t="s">
        <v>60</v>
      </c>
      <c r="E20" s="44" t="s">
        <v>247</v>
      </c>
      <c r="F20" s="44" t="s">
        <v>247</v>
      </c>
      <c r="G20" s="44" t="s">
        <v>60</v>
      </c>
      <c r="H20" s="1"/>
    </row>
    <row r="21" spans="2:8" ht="18.75" x14ac:dyDescent="0.3">
      <c r="B21" s="1"/>
    </row>
    <row r="22" spans="2:8" ht="16.5" x14ac:dyDescent="0.25">
      <c r="B22" s="71" t="s">
        <v>129</v>
      </c>
      <c r="C22" s="71"/>
      <c r="D22" s="71"/>
      <c r="E22" s="71"/>
      <c r="F22" s="71"/>
      <c r="G22" s="71" t="s">
        <v>118</v>
      </c>
    </row>
    <row r="23" spans="2:8" ht="16.5" x14ac:dyDescent="0.25">
      <c r="B23" s="71"/>
      <c r="C23" s="71"/>
      <c r="D23" s="71"/>
      <c r="E23" s="71"/>
      <c r="F23" s="71"/>
      <c r="G23" s="71"/>
    </row>
    <row r="24" spans="2:8" ht="16.5" x14ac:dyDescent="0.25">
      <c r="B24" s="71" t="s">
        <v>185</v>
      </c>
      <c r="C24" s="71"/>
      <c r="D24" s="71"/>
      <c r="E24" s="71"/>
      <c r="F24" s="71"/>
      <c r="G24" s="71"/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scale="93" orientation="landscape" r:id="rId1"/>
  <rowBreaks count="1" manualBreakCount="1">
    <brk id="13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view="pageBreakPreview" zoomScale="85" zoomScaleNormal="100" zoomScaleSheetLayoutView="85" workbookViewId="0">
      <selection activeCell="C5" sqref="C5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214" t="s">
        <v>248</v>
      </c>
      <c r="C2" s="214"/>
      <c r="D2" s="214"/>
      <c r="E2" s="214"/>
      <c r="F2" s="214"/>
      <c r="G2" s="214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1.5" x14ac:dyDescent="0.3">
      <c r="B4" s="143" t="s">
        <v>249</v>
      </c>
      <c r="C4" s="134">
        <v>0</v>
      </c>
      <c r="D4" s="134">
        <v>0.5</v>
      </c>
      <c r="E4" s="134">
        <v>1</v>
      </c>
      <c r="F4" s="134">
        <v>0.5</v>
      </c>
      <c r="G4" s="134">
        <v>0</v>
      </c>
      <c r="H4" s="1"/>
    </row>
    <row r="5" spans="2:8" ht="18.75" x14ac:dyDescent="0.3">
      <c r="B5" s="12" t="s">
        <v>6</v>
      </c>
      <c r="C5" s="135" t="s">
        <v>128</v>
      </c>
      <c r="D5" s="136">
        <v>3</v>
      </c>
      <c r="E5" s="136">
        <v>0</v>
      </c>
      <c r="F5" s="136">
        <v>8</v>
      </c>
      <c r="G5" s="135" t="s">
        <v>128</v>
      </c>
      <c r="H5" s="1"/>
    </row>
    <row r="6" spans="2:8" ht="18.75" x14ac:dyDescent="0.3">
      <c r="B6" s="12" t="s">
        <v>26</v>
      </c>
      <c r="C6" s="136">
        <v>0</v>
      </c>
      <c r="D6" s="136">
        <v>12.5</v>
      </c>
      <c r="E6" s="136">
        <v>25</v>
      </c>
      <c r="F6" s="136">
        <v>12.5</v>
      </c>
      <c r="G6" s="136">
        <v>0</v>
      </c>
      <c r="H6" s="1"/>
    </row>
    <row r="7" spans="2:8" ht="63" x14ac:dyDescent="0.3">
      <c r="B7" s="2" t="s">
        <v>30</v>
      </c>
      <c r="C7" s="137">
        <v>0</v>
      </c>
      <c r="D7" s="136">
        <v>1</v>
      </c>
      <c r="E7" s="136">
        <v>1</v>
      </c>
      <c r="F7" s="136">
        <v>1</v>
      </c>
      <c r="G7" s="136">
        <v>1</v>
      </c>
      <c r="H7" s="1"/>
    </row>
    <row r="8" spans="2:8" ht="71.25" customHeight="1" x14ac:dyDescent="0.3">
      <c r="B8" s="12" t="s">
        <v>6</v>
      </c>
      <c r="C8" s="138" t="s">
        <v>250</v>
      </c>
      <c r="D8" s="139" t="s">
        <v>63</v>
      </c>
      <c r="E8" s="139"/>
      <c r="F8" s="139"/>
      <c r="G8" s="139"/>
      <c r="H8" s="1"/>
    </row>
    <row r="9" spans="2:8" ht="18.75" x14ac:dyDescent="0.3">
      <c r="B9" s="12" t="s">
        <v>26</v>
      </c>
      <c r="C9" s="135">
        <v>0</v>
      </c>
      <c r="D9" s="136">
        <v>25</v>
      </c>
      <c r="E9" s="136">
        <v>25</v>
      </c>
      <c r="F9" s="136">
        <v>25</v>
      </c>
      <c r="G9" s="136">
        <v>25</v>
      </c>
      <c r="H9" s="1"/>
    </row>
    <row r="10" spans="2:8" ht="63.75" x14ac:dyDescent="0.3">
      <c r="B10" s="7" t="s">
        <v>29</v>
      </c>
      <c r="C10" s="135">
        <v>1</v>
      </c>
      <c r="D10" s="136">
        <v>1</v>
      </c>
      <c r="E10" s="136">
        <v>1</v>
      </c>
      <c r="F10" s="136">
        <v>1</v>
      </c>
      <c r="G10" s="136">
        <v>1</v>
      </c>
      <c r="H10" s="1"/>
    </row>
    <row r="11" spans="2:8" ht="18.75" x14ac:dyDescent="0.3">
      <c r="B11" s="12" t="s">
        <v>6</v>
      </c>
      <c r="C11" s="135" t="s">
        <v>64</v>
      </c>
      <c r="D11" s="139"/>
      <c r="E11" s="139"/>
      <c r="F11" s="139"/>
      <c r="G11" s="139"/>
      <c r="H11" s="1"/>
    </row>
    <row r="12" spans="2:8" ht="18.75" x14ac:dyDescent="0.3">
      <c r="B12" s="12" t="s">
        <v>26</v>
      </c>
      <c r="C12" s="135">
        <v>20</v>
      </c>
      <c r="D12" s="136">
        <v>20</v>
      </c>
      <c r="E12" s="136">
        <v>20</v>
      </c>
      <c r="F12" s="136">
        <v>20</v>
      </c>
      <c r="G12" s="136">
        <v>20</v>
      </c>
      <c r="H12" s="1"/>
    </row>
    <row r="13" spans="2:8" ht="79.5" x14ac:dyDescent="0.3">
      <c r="B13" s="7" t="s">
        <v>28</v>
      </c>
      <c r="C13" s="140">
        <v>1</v>
      </c>
      <c r="D13" s="140">
        <v>1</v>
      </c>
      <c r="E13" s="140">
        <v>1</v>
      </c>
      <c r="F13" s="140">
        <v>1</v>
      </c>
      <c r="G13" s="140">
        <v>1</v>
      </c>
      <c r="H13" s="1"/>
    </row>
    <row r="14" spans="2:8" ht="51.75" x14ac:dyDescent="0.3">
      <c r="B14" s="12" t="s">
        <v>6</v>
      </c>
      <c r="C14" s="141" t="s">
        <v>59</v>
      </c>
      <c r="D14" s="142" t="s">
        <v>59</v>
      </c>
      <c r="E14" s="142" t="s">
        <v>59</v>
      </c>
      <c r="F14" s="142" t="s">
        <v>59</v>
      </c>
      <c r="G14" s="141" t="s">
        <v>59</v>
      </c>
      <c r="H14" s="1"/>
    </row>
    <row r="15" spans="2:8" ht="18.75" x14ac:dyDescent="0.3">
      <c r="B15" s="12" t="s">
        <v>26</v>
      </c>
      <c r="C15" s="134">
        <f>30*1</f>
        <v>30</v>
      </c>
      <c r="D15" s="134">
        <f t="shared" ref="D15:G15" si="0">30*1</f>
        <v>30</v>
      </c>
      <c r="E15" s="134">
        <f t="shared" si="0"/>
        <v>30</v>
      </c>
      <c r="F15" s="134">
        <f t="shared" si="0"/>
        <v>30</v>
      </c>
      <c r="G15" s="134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50</v>
      </c>
      <c r="D16" s="39">
        <f t="shared" ref="D16:G16" si="1">D6+D9+D12+D15</f>
        <v>87.5</v>
      </c>
      <c r="E16" s="39">
        <f t="shared" si="1"/>
        <v>100</v>
      </c>
      <c r="F16" s="39">
        <f t="shared" si="1"/>
        <v>87.5</v>
      </c>
      <c r="G16" s="39">
        <f t="shared" si="1"/>
        <v>75</v>
      </c>
      <c r="H16" s="1"/>
    </row>
    <row r="17" spans="2:8" ht="18.75" x14ac:dyDescent="0.3">
      <c r="B17" s="37" t="s">
        <v>55</v>
      </c>
      <c r="C17" s="40" t="s">
        <v>191</v>
      </c>
      <c r="D17" s="40" t="s">
        <v>244</v>
      </c>
      <c r="E17" s="40" t="s">
        <v>189</v>
      </c>
      <c r="F17" s="40" t="s">
        <v>244</v>
      </c>
      <c r="G17" s="40" t="s">
        <v>200</v>
      </c>
      <c r="H17" s="1"/>
    </row>
    <row r="18" spans="2:8" ht="33.75" x14ac:dyDescent="0.3">
      <c r="B18" s="53" t="s">
        <v>54</v>
      </c>
      <c r="C18" s="215">
        <f>(C16+D16+E16+F16+G16)/5</f>
        <v>80</v>
      </c>
      <c r="D18" s="216"/>
      <c r="E18" s="216"/>
      <c r="F18" s="216"/>
      <c r="G18" s="217"/>
      <c r="H18" s="1"/>
    </row>
    <row r="19" spans="2:8" ht="93.75" x14ac:dyDescent="0.3">
      <c r="B19" s="38" t="s">
        <v>57</v>
      </c>
      <c r="C19" s="48">
        <f>100-C16</f>
        <v>50</v>
      </c>
      <c r="D19" s="48">
        <f t="shared" ref="D19:G19" si="2">100-D16</f>
        <v>12.5</v>
      </c>
      <c r="E19" s="48">
        <f t="shared" si="2"/>
        <v>0</v>
      </c>
      <c r="F19" s="48">
        <f t="shared" si="2"/>
        <v>12.5</v>
      </c>
      <c r="G19" s="48">
        <f t="shared" si="2"/>
        <v>25</v>
      </c>
      <c r="H19" s="1"/>
    </row>
    <row r="20" spans="2:8" ht="69" customHeight="1" x14ac:dyDescent="0.3">
      <c r="B20" s="54" t="s">
        <v>61</v>
      </c>
      <c r="C20" s="44" t="s">
        <v>246</v>
      </c>
      <c r="D20" s="44" t="s">
        <v>60</v>
      </c>
      <c r="E20" s="44" t="s">
        <v>247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ht="16.5" x14ac:dyDescent="0.25">
      <c r="B22" s="71" t="s">
        <v>129</v>
      </c>
      <c r="C22" s="71"/>
      <c r="D22" s="71"/>
      <c r="E22" s="71"/>
      <c r="F22" s="71"/>
      <c r="G22" s="71" t="s">
        <v>118</v>
      </c>
    </row>
    <row r="23" spans="2:8" ht="16.5" x14ac:dyDescent="0.25">
      <c r="B23" s="71"/>
      <c r="C23" s="71"/>
      <c r="D23" s="71"/>
      <c r="E23" s="71"/>
      <c r="F23" s="71"/>
      <c r="G23" s="71"/>
    </row>
    <row r="24" spans="2:8" ht="16.5" x14ac:dyDescent="0.25">
      <c r="B24" s="71" t="s">
        <v>185</v>
      </c>
      <c r="C24" s="71"/>
      <c r="D24" s="71"/>
      <c r="E24" s="71"/>
      <c r="F24" s="71"/>
      <c r="G24" s="71"/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scale="93" orientation="landscape" r:id="rId1"/>
  <rowBreaks count="1" manualBreakCount="1">
    <brk id="13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view="pageBreakPreview" zoomScale="85" zoomScaleNormal="100" zoomScaleSheetLayoutView="85" workbookViewId="0">
      <selection activeCell="F17" sqref="F17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5" width="21.7109375" customWidth="1"/>
    <col min="6" max="6" width="21.42578125" customWidth="1"/>
    <col min="7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214" t="s">
        <v>251</v>
      </c>
      <c r="C2" s="214"/>
      <c r="D2" s="214"/>
      <c r="E2" s="214"/>
      <c r="F2" s="214"/>
      <c r="G2" s="214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1.5" x14ac:dyDescent="0.3">
      <c r="B4" s="143" t="s">
        <v>249</v>
      </c>
      <c r="C4" s="134">
        <v>0</v>
      </c>
      <c r="D4" s="134">
        <v>0.5</v>
      </c>
      <c r="E4" s="134">
        <v>0.5</v>
      </c>
      <c r="F4" s="134">
        <v>0.5</v>
      </c>
      <c r="G4" s="134">
        <v>0</v>
      </c>
      <c r="H4" s="1"/>
    </row>
    <row r="5" spans="2:8" ht="18.75" x14ac:dyDescent="0.3">
      <c r="B5" s="12" t="s">
        <v>6</v>
      </c>
      <c r="C5" s="135" t="s">
        <v>128</v>
      </c>
      <c r="D5" s="136">
        <v>1</v>
      </c>
      <c r="E5" s="136">
        <v>2</v>
      </c>
      <c r="F5" s="136">
        <v>3</v>
      </c>
      <c r="G5" s="135" t="s">
        <v>128</v>
      </c>
      <c r="H5" s="1"/>
    </row>
    <row r="6" spans="2:8" ht="18.75" x14ac:dyDescent="0.3">
      <c r="B6" s="12" t="s">
        <v>26</v>
      </c>
      <c r="C6" s="136">
        <v>0</v>
      </c>
      <c r="D6" s="136">
        <v>12.5</v>
      </c>
      <c r="E6" s="136">
        <v>12.5</v>
      </c>
      <c r="F6" s="136">
        <v>12.5</v>
      </c>
      <c r="G6" s="136">
        <v>0</v>
      </c>
      <c r="H6" s="1"/>
    </row>
    <row r="7" spans="2:8" ht="63" x14ac:dyDescent="0.3">
      <c r="B7" s="2" t="s">
        <v>30</v>
      </c>
      <c r="C7" s="137">
        <v>0</v>
      </c>
      <c r="D7" s="136">
        <v>1</v>
      </c>
      <c r="E7" s="136">
        <v>1</v>
      </c>
      <c r="F7" s="136">
        <v>1</v>
      </c>
      <c r="G7" s="136">
        <v>0</v>
      </c>
      <c r="H7" s="1"/>
    </row>
    <row r="8" spans="2:8" ht="71.25" customHeight="1" x14ac:dyDescent="0.3">
      <c r="B8" s="12" t="s">
        <v>6</v>
      </c>
      <c r="C8" s="138" t="s">
        <v>252</v>
      </c>
      <c r="D8" s="139" t="s">
        <v>63</v>
      </c>
      <c r="E8" s="139"/>
      <c r="F8" s="139"/>
      <c r="G8" s="138" t="s">
        <v>253</v>
      </c>
      <c r="H8" s="1"/>
    </row>
    <row r="9" spans="2:8" ht="18.75" x14ac:dyDescent="0.3">
      <c r="B9" s="12" t="s">
        <v>26</v>
      </c>
      <c r="C9" s="135">
        <v>0</v>
      </c>
      <c r="D9" s="136">
        <v>25</v>
      </c>
      <c r="E9" s="136">
        <v>25</v>
      </c>
      <c r="F9" s="136">
        <v>25</v>
      </c>
      <c r="G9" s="136">
        <v>0</v>
      </c>
      <c r="H9" s="1"/>
    </row>
    <row r="10" spans="2:8" ht="63.75" x14ac:dyDescent="0.3">
      <c r="B10" s="7" t="s">
        <v>29</v>
      </c>
      <c r="C10" s="135">
        <v>1</v>
      </c>
      <c r="D10" s="136">
        <v>1</v>
      </c>
      <c r="E10" s="136">
        <v>1</v>
      </c>
      <c r="F10" s="136">
        <v>1</v>
      </c>
      <c r="G10" s="136">
        <v>1</v>
      </c>
      <c r="H10" s="1"/>
    </row>
    <row r="11" spans="2:8" ht="18.75" x14ac:dyDescent="0.3">
      <c r="B11" s="12" t="s">
        <v>6</v>
      </c>
      <c r="C11" s="135" t="s">
        <v>64</v>
      </c>
      <c r="D11" s="139"/>
      <c r="E11" s="139"/>
      <c r="F11" s="139"/>
      <c r="G11" s="139"/>
      <c r="H11" s="1"/>
    </row>
    <row r="12" spans="2:8" ht="18.75" x14ac:dyDescent="0.3">
      <c r="B12" s="12" t="s">
        <v>26</v>
      </c>
      <c r="C12" s="135">
        <v>20</v>
      </c>
      <c r="D12" s="136">
        <v>20</v>
      </c>
      <c r="E12" s="136">
        <v>20</v>
      </c>
      <c r="F12" s="136">
        <v>20</v>
      </c>
      <c r="G12" s="136">
        <v>20</v>
      </c>
      <c r="H12" s="1"/>
    </row>
    <row r="13" spans="2:8" ht="79.5" x14ac:dyDescent="0.3">
      <c r="B13" s="7" t="s">
        <v>28</v>
      </c>
      <c r="C13" s="140">
        <v>1</v>
      </c>
      <c r="D13" s="140">
        <v>1</v>
      </c>
      <c r="E13" s="140">
        <v>1</v>
      </c>
      <c r="F13" s="140">
        <v>1</v>
      </c>
      <c r="G13" s="140">
        <v>1</v>
      </c>
      <c r="H13" s="1"/>
    </row>
    <row r="14" spans="2:8" ht="51.75" x14ac:dyDescent="0.3">
      <c r="B14" s="12" t="s">
        <v>6</v>
      </c>
      <c r="C14" s="141" t="s">
        <v>59</v>
      </c>
      <c r="D14" s="142" t="s">
        <v>59</v>
      </c>
      <c r="E14" s="142" t="s">
        <v>59</v>
      </c>
      <c r="F14" s="142" t="s">
        <v>59</v>
      </c>
      <c r="G14" s="141" t="s">
        <v>59</v>
      </c>
      <c r="H14" s="1"/>
    </row>
    <row r="15" spans="2:8" ht="18.75" x14ac:dyDescent="0.3">
      <c r="B15" s="12" t="s">
        <v>26</v>
      </c>
      <c r="C15" s="134">
        <f>30*1</f>
        <v>30</v>
      </c>
      <c r="D15" s="134">
        <f t="shared" ref="D15:G15" si="0">30*1</f>
        <v>30</v>
      </c>
      <c r="E15" s="134">
        <f t="shared" si="0"/>
        <v>30</v>
      </c>
      <c r="F15" s="134">
        <f t="shared" si="0"/>
        <v>30</v>
      </c>
      <c r="G15" s="134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50</v>
      </c>
      <c r="D16" s="39">
        <f t="shared" ref="D16:G16" si="1">D6+D9+D12+D15</f>
        <v>87.5</v>
      </c>
      <c r="E16" s="39">
        <f t="shared" si="1"/>
        <v>87.5</v>
      </c>
      <c r="F16" s="39">
        <f t="shared" si="1"/>
        <v>87.5</v>
      </c>
      <c r="G16" s="39">
        <f t="shared" si="1"/>
        <v>50</v>
      </c>
      <c r="H16" s="1"/>
    </row>
    <row r="17" spans="2:8" ht="18.75" x14ac:dyDescent="0.3">
      <c r="B17" s="37" t="s">
        <v>55</v>
      </c>
      <c r="C17" s="40" t="s">
        <v>135</v>
      </c>
      <c r="D17" s="40" t="s">
        <v>134</v>
      </c>
      <c r="E17" s="40" t="s">
        <v>134</v>
      </c>
      <c r="F17" s="40" t="s">
        <v>134</v>
      </c>
      <c r="G17" s="40" t="s">
        <v>135</v>
      </c>
      <c r="H17" s="1"/>
    </row>
    <row r="18" spans="2:8" ht="33.75" x14ac:dyDescent="0.3">
      <c r="B18" s="53" t="s">
        <v>54</v>
      </c>
      <c r="C18" s="215">
        <f>(C16+D16+E16+F16+G16)/5</f>
        <v>72.5</v>
      </c>
      <c r="D18" s="216"/>
      <c r="E18" s="216"/>
      <c r="F18" s="216"/>
      <c r="G18" s="217"/>
      <c r="H18" s="1"/>
    </row>
    <row r="19" spans="2:8" ht="93.75" x14ac:dyDescent="0.3">
      <c r="B19" s="38" t="s">
        <v>57</v>
      </c>
      <c r="C19" s="48">
        <f>100-C16</f>
        <v>50</v>
      </c>
      <c r="D19" s="48">
        <f t="shared" ref="D19:G19" si="2">100-D16</f>
        <v>12.5</v>
      </c>
      <c r="E19" s="48">
        <f t="shared" si="2"/>
        <v>12.5</v>
      </c>
      <c r="F19" s="48">
        <f t="shared" si="2"/>
        <v>12.5</v>
      </c>
      <c r="G19" s="48">
        <f t="shared" si="2"/>
        <v>50</v>
      </c>
      <c r="H19" s="1"/>
    </row>
    <row r="20" spans="2:8" ht="69" customHeight="1" x14ac:dyDescent="0.3">
      <c r="B20" s="54" t="s">
        <v>61</v>
      </c>
      <c r="C20" s="44" t="s">
        <v>246</v>
      </c>
      <c r="D20" s="44" t="s">
        <v>60</v>
      </c>
      <c r="E20" s="44" t="s">
        <v>60</v>
      </c>
      <c r="F20" s="44" t="s">
        <v>60</v>
      </c>
      <c r="G20" s="44" t="s">
        <v>246</v>
      </c>
      <c r="H20" s="1"/>
    </row>
    <row r="21" spans="2:8" ht="18.75" x14ac:dyDescent="0.3">
      <c r="B21" s="1"/>
    </row>
    <row r="22" spans="2:8" ht="16.5" x14ac:dyDescent="0.25">
      <c r="B22" s="71" t="s">
        <v>129</v>
      </c>
      <c r="C22" s="71"/>
      <c r="D22" s="71"/>
      <c r="E22" s="71"/>
      <c r="F22" s="71"/>
      <c r="G22" s="71" t="s">
        <v>118</v>
      </c>
    </row>
    <row r="23" spans="2:8" ht="16.5" x14ac:dyDescent="0.25">
      <c r="B23" s="71"/>
      <c r="C23" s="71"/>
      <c r="D23" s="71"/>
      <c r="E23" s="71"/>
      <c r="F23" s="71"/>
      <c r="G23" s="71"/>
    </row>
    <row r="24" spans="2:8" ht="16.5" x14ac:dyDescent="0.25">
      <c r="B24" s="71" t="s">
        <v>185</v>
      </c>
      <c r="C24" s="71"/>
      <c r="D24" s="71"/>
      <c r="E24" s="71"/>
      <c r="F24" s="71"/>
      <c r="G24" s="71"/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scale="93" orientation="landscape" r:id="rId1"/>
  <rowBreaks count="1" manualBreakCount="1">
    <brk id="13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zoomScale="85" zoomScaleNormal="85" workbookViewId="0">
      <pane ySplit="2" topLeftCell="A27" activePane="bottomLeft" state="frozen"/>
      <selection pane="bottomLeft" activeCell="B88" sqref="B88"/>
    </sheetView>
  </sheetViews>
  <sheetFormatPr defaultRowHeight="15" x14ac:dyDescent="0.25"/>
  <cols>
    <col min="1" max="1" width="1.5703125" customWidth="1"/>
    <col min="2" max="2" width="48.28515625" customWidth="1"/>
    <col min="3" max="3" width="27.140625" customWidth="1"/>
    <col min="4" max="4" width="23.42578125" customWidth="1"/>
    <col min="5" max="5" width="23.28515625" customWidth="1"/>
    <col min="6" max="6" width="26.5703125" customWidth="1"/>
    <col min="7" max="7" width="25.42578125" customWidth="1"/>
  </cols>
  <sheetData>
    <row r="1" spans="2:8" ht="61.5" customHeight="1" x14ac:dyDescent="0.25">
      <c r="B1" s="208" t="s">
        <v>254</v>
      </c>
      <c r="C1" s="208"/>
      <c r="D1" s="208"/>
      <c r="E1" s="208"/>
      <c r="F1" s="208"/>
      <c r="G1" s="208"/>
    </row>
    <row r="2" spans="2:8" ht="32.25" x14ac:dyDescent="0.3">
      <c r="B2" s="9" t="s">
        <v>0</v>
      </c>
      <c r="C2" s="7" t="s">
        <v>1</v>
      </c>
      <c r="D2" s="61" t="s">
        <v>2</v>
      </c>
      <c r="E2" s="62" t="s">
        <v>3</v>
      </c>
      <c r="F2" s="62" t="s">
        <v>4</v>
      </c>
      <c r="G2" s="62" t="s">
        <v>5</v>
      </c>
      <c r="H2" s="1"/>
    </row>
    <row r="3" spans="2:8" ht="18.75" x14ac:dyDescent="0.3">
      <c r="B3" s="232" t="s">
        <v>120</v>
      </c>
      <c r="C3" s="232"/>
      <c r="D3" s="232"/>
      <c r="E3" s="232"/>
      <c r="F3" s="232"/>
      <c r="G3" s="232"/>
      <c r="H3" s="1"/>
    </row>
    <row r="4" spans="2:8" ht="47.25" x14ac:dyDescent="0.3">
      <c r="B4" s="155" t="s">
        <v>31</v>
      </c>
      <c r="C4" s="146">
        <f>20*66.4/100</f>
        <v>13.28</v>
      </c>
      <c r="D4" s="162">
        <f>20*0/100</f>
        <v>0</v>
      </c>
      <c r="E4" s="162">
        <f>20*91.8/100</f>
        <v>18.36</v>
      </c>
      <c r="F4" s="162">
        <f>20*99.7/100</f>
        <v>19.940000000000001</v>
      </c>
      <c r="G4" s="162">
        <f>20*99.5/100</f>
        <v>19.899999999999999</v>
      </c>
      <c r="H4" s="1"/>
    </row>
    <row r="5" spans="2:8" ht="18.75" x14ac:dyDescent="0.3">
      <c r="B5" s="163" t="s">
        <v>6</v>
      </c>
      <c r="C5" s="164" t="s">
        <v>255</v>
      </c>
      <c r="D5" s="164" t="s">
        <v>256</v>
      </c>
      <c r="E5" s="164" t="s">
        <v>257</v>
      </c>
      <c r="F5" s="164" t="s">
        <v>258</v>
      </c>
      <c r="G5" s="164" t="s">
        <v>259</v>
      </c>
      <c r="H5" s="1"/>
    </row>
    <row r="6" spans="2:8" ht="18.75" x14ac:dyDescent="0.3">
      <c r="B6" s="150" t="s">
        <v>119</v>
      </c>
      <c r="C6" s="162">
        <f>25*C4/100</f>
        <v>3.32</v>
      </c>
      <c r="D6" s="162">
        <f>25*D4/100</f>
        <v>0</v>
      </c>
      <c r="E6" s="162">
        <f>25*E4/100</f>
        <v>4.59</v>
      </c>
      <c r="F6" s="162">
        <f>25*F4/100</f>
        <v>4.9850000000000003</v>
      </c>
      <c r="G6" s="162">
        <f>25*G4/100</f>
        <v>4.9749999999999996</v>
      </c>
      <c r="H6" s="1"/>
    </row>
    <row r="7" spans="2:8" ht="94.5" x14ac:dyDescent="0.3">
      <c r="B7" s="155" t="s">
        <v>32</v>
      </c>
      <c r="C7" s="157">
        <f>20*100/100</f>
        <v>20</v>
      </c>
      <c r="D7" s="157">
        <f>20*100/100</f>
        <v>20</v>
      </c>
      <c r="E7" s="157">
        <f>20*100/100</f>
        <v>20</v>
      </c>
      <c r="F7" s="162">
        <f>20*100/100</f>
        <v>20</v>
      </c>
      <c r="G7" s="146">
        <f>20*100/100</f>
        <v>20</v>
      </c>
      <c r="H7" s="1"/>
    </row>
    <row r="8" spans="2:8" ht="63.75" x14ac:dyDescent="0.3">
      <c r="B8" s="163" t="s">
        <v>6</v>
      </c>
      <c r="C8" s="161" t="s">
        <v>269</v>
      </c>
      <c r="D8" s="157" t="s">
        <v>179</v>
      </c>
      <c r="E8" s="157" t="s">
        <v>180</v>
      </c>
      <c r="F8" s="164" t="s">
        <v>261</v>
      </c>
      <c r="G8" s="164" t="s">
        <v>262</v>
      </c>
      <c r="H8" s="1"/>
    </row>
    <row r="9" spans="2:8" ht="18.75" x14ac:dyDescent="0.3">
      <c r="B9" s="150" t="s">
        <v>119</v>
      </c>
      <c r="C9" s="146">
        <f>25*C7/100</f>
        <v>5</v>
      </c>
      <c r="D9" s="146">
        <f>25*D7/100</f>
        <v>5</v>
      </c>
      <c r="E9" s="146">
        <f>25*E7/100</f>
        <v>5</v>
      </c>
      <c r="F9" s="165">
        <f>25*F7/100</f>
        <v>5</v>
      </c>
      <c r="G9" s="146">
        <f>25*G7/100</f>
        <v>5</v>
      </c>
      <c r="H9" s="1"/>
    </row>
    <row r="10" spans="2:8" ht="94.5" x14ac:dyDescent="0.3">
      <c r="B10" s="151" t="s">
        <v>33</v>
      </c>
      <c r="C10" s="146">
        <f>20*100/100</f>
        <v>20</v>
      </c>
      <c r="D10" s="146">
        <f>20*100/100</f>
        <v>20</v>
      </c>
      <c r="E10" s="146">
        <f>20*100/100</f>
        <v>20</v>
      </c>
      <c r="F10" s="146">
        <f>20*100/100</f>
        <v>20</v>
      </c>
      <c r="G10" s="146">
        <f>20*100/100</f>
        <v>20</v>
      </c>
      <c r="H10" s="1"/>
    </row>
    <row r="11" spans="2:8" ht="45.75" x14ac:dyDescent="0.3">
      <c r="B11" s="150" t="s">
        <v>6</v>
      </c>
      <c r="C11" s="161" t="s">
        <v>269</v>
      </c>
      <c r="D11" s="166" t="s">
        <v>181</v>
      </c>
      <c r="E11" s="166" t="s">
        <v>181</v>
      </c>
      <c r="F11" s="164" t="s">
        <v>261</v>
      </c>
      <c r="G11" s="164" t="s">
        <v>262</v>
      </c>
      <c r="H11" s="1"/>
    </row>
    <row r="12" spans="2:8" ht="18.75" x14ac:dyDescent="0.3">
      <c r="B12" s="150" t="s">
        <v>119</v>
      </c>
      <c r="C12" s="146">
        <f>25*C10/100</f>
        <v>5</v>
      </c>
      <c r="D12" s="146">
        <f>25*D10/100</f>
        <v>5</v>
      </c>
      <c r="E12" s="146">
        <f>25*E10/100</f>
        <v>5</v>
      </c>
      <c r="F12" s="165">
        <f>25*F10/100</f>
        <v>5</v>
      </c>
      <c r="G12" s="146">
        <f>25*G10/100</f>
        <v>5</v>
      </c>
      <c r="H12" s="1"/>
    </row>
    <row r="13" spans="2:8" ht="47.25" x14ac:dyDescent="0.3">
      <c r="B13" s="155" t="s">
        <v>260</v>
      </c>
      <c r="C13" s="154">
        <v>0</v>
      </c>
      <c r="D13" s="154">
        <v>0</v>
      </c>
      <c r="E13" s="146">
        <v>0</v>
      </c>
      <c r="F13" s="146">
        <v>0</v>
      </c>
      <c r="G13" s="146">
        <v>0</v>
      </c>
      <c r="H13" s="1"/>
    </row>
    <row r="14" spans="2:8" ht="32.25" x14ac:dyDescent="0.3">
      <c r="B14" s="150" t="s">
        <v>8</v>
      </c>
      <c r="C14" s="167" t="s">
        <v>263</v>
      </c>
      <c r="D14" s="167" t="s">
        <v>263</v>
      </c>
      <c r="E14" s="167" t="s">
        <v>263</v>
      </c>
      <c r="F14" s="167" t="s">
        <v>263</v>
      </c>
      <c r="G14" s="167" t="s">
        <v>263</v>
      </c>
      <c r="H14" s="1"/>
    </row>
    <row r="15" spans="2:8" ht="18.75" x14ac:dyDescent="0.3">
      <c r="B15" s="150" t="s">
        <v>119</v>
      </c>
      <c r="C15" s="168">
        <f>25*C13/100</f>
        <v>0</v>
      </c>
      <c r="D15" s="168">
        <f>25*D13/100</f>
        <v>0</v>
      </c>
      <c r="E15" s="168">
        <f>25*E13/100</f>
        <v>0</v>
      </c>
      <c r="F15" s="168">
        <f t="shared" ref="F15:G15" si="0">25*F13/100</f>
        <v>0</v>
      </c>
      <c r="G15" s="168">
        <f t="shared" si="0"/>
        <v>0</v>
      </c>
      <c r="H15" s="1"/>
    </row>
    <row r="16" spans="2:8" ht="31.5" x14ac:dyDescent="0.3">
      <c r="B16" s="155" t="s">
        <v>35</v>
      </c>
      <c r="C16" s="169">
        <f>1*20*66.4/100</f>
        <v>13.28</v>
      </c>
      <c r="D16" s="169">
        <f>1*20*0/100</f>
        <v>0</v>
      </c>
      <c r="E16" s="169">
        <f>1*20*91.8/100</f>
        <v>18.36</v>
      </c>
      <c r="F16" s="169">
        <f>1*20*99.7/100</f>
        <v>19.940000000000001</v>
      </c>
      <c r="G16" s="169">
        <f>1*20*99.5/100</f>
        <v>19.899999999999999</v>
      </c>
      <c r="H16" s="1"/>
    </row>
    <row r="17" spans="2:8" ht="18.75" x14ac:dyDescent="0.3">
      <c r="B17" s="150" t="s">
        <v>6</v>
      </c>
      <c r="C17" s="164" t="s">
        <v>255</v>
      </c>
      <c r="D17" s="164" t="s">
        <v>256</v>
      </c>
      <c r="E17" s="164" t="s">
        <v>257</v>
      </c>
      <c r="F17" s="164" t="s">
        <v>258</v>
      </c>
      <c r="G17" s="164" t="s">
        <v>259</v>
      </c>
      <c r="H17" s="1"/>
    </row>
    <row r="18" spans="2:8" ht="18.75" x14ac:dyDescent="0.3">
      <c r="B18" s="150" t="s">
        <v>119</v>
      </c>
      <c r="C18" s="162">
        <f>25*C16/100</f>
        <v>3.32</v>
      </c>
      <c r="D18" s="162">
        <f t="shared" ref="D18:F18" si="1">25*D16/100</f>
        <v>0</v>
      </c>
      <c r="E18" s="162">
        <f t="shared" si="1"/>
        <v>4.59</v>
      </c>
      <c r="F18" s="162">
        <f t="shared" si="1"/>
        <v>4.9850000000000003</v>
      </c>
      <c r="G18" s="162">
        <f>25*G16/100</f>
        <v>4.9749999999999996</v>
      </c>
      <c r="H18" s="1"/>
    </row>
    <row r="19" spans="2:8" ht="18.75" x14ac:dyDescent="0.3">
      <c r="B19" s="233" t="s">
        <v>121</v>
      </c>
      <c r="C19" s="234"/>
      <c r="D19" s="234"/>
      <c r="E19" s="234"/>
      <c r="F19" s="234"/>
      <c r="G19" s="235"/>
      <c r="H19" s="1"/>
    </row>
    <row r="20" spans="2:8" s="144" customFormat="1" ht="48" x14ac:dyDescent="0.3">
      <c r="B20" s="155" t="s">
        <v>36</v>
      </c>
      <c r="C20" s="152" t="s">
        <v>284</v>
      </c>
      <c r="D20" s="157" t="s">
        <v>276</v>
      </c>
      <c r="E20" s="157" t="s">
        <v>278</v>
      </c>
      <c r="F20" s="157" t="s">
        <v>282</v>
      </c>
      <c r="G20" s="149" t="s">
        <v>280</v>
      </c>
      <c r="H20" s="147"/>
    </row>
    <row r="21" spans="2:8" s="144" customFormat="1" ht="60.75" x14ac:dyDescent="0.3">
      <c r="B21" s="150" t="s">
        <v>9</v>
      </c>
      <c r="C21" s="160" t="s">
        <v>283</v>
      </c>
      <c r="D21" s="161" t="s">
        <v>275</v>
      </c>
      <c r="E21" s="161" t="s">
        <v>277</v>
      </c>
      <c r="F21" s="161" t="s">
        <v>281</v>
      </c>
      <c r="G21" s="161" t="s">
        <v>279</v>
      </c>
      <c r="H21" s="147"/>
    </row>
    <row r="22" spans="2:8" s="144" customFormat="1" ht="18.75" x14ac:dyDescent="0.3">
      <c r="B22" s="150" t="s">
        <v>119</v>
      </c>
      <c r="C22" s="146">
        <f>25*20/100</f>
        <v>5</v>
      </c>
      <c r="D22" s="146">
        <f>25*10/100</f>
        <v>2.5</v>
      </c>
      <c r="E22" s="146">
        <f>25*20/100</f>
        <v>5</v>
      </c>
      <c r="F22" s="146">
        <f>25*20/100</f>
        <v>5</v>
      </c>
      <c r="G22" s="146">
        <f>25*20/100</f>
        <v>5</v>
      </c>
      <c r="H22" s="147"/>
    </row>
    <row r="23" spans="2:8" ht="63" x14ac:dyDescent="0.3">
      <c r="B23" s="170" t="s">
        <v>37</v>
      </c>
      <c r="C23" s="157">
        <f>10*100/100</f>
        <v>10</v>
      </c>
      <c r="D23" s="157">
        <f>10*100/100</f>
        <v>10</v>
      </c>
      <c r="E23" s="157">
        <f t="shared" ref="E23:F23" si="2">10*100/100</f>
        <v>10</v>
      </c>
      <c r="F23" s="157">
        <f t="shared" si="2"/>
        <v>10</v>
      </c>
      <c r="G23" s="157">
        <f>10*100/100</f>
        <v>10</v>
      </c>
      <c r="H23" s="1"/>
    </row>
    <row r="24" spans="2:8" ht="48" x14ac:dyDescent="0.3">
      <c r="B24" s="163" t="s">
        <v>6</v>
      </c>
      <c r="C24" s="157" t="s">
        <v>264</v>
      </c>
      <c r="D24" s="157" t="s">
        <v>15</v>
      </c>
      <c r="E24" s="157" t="s">
        <v>15</v>
      </c>
      <c r="F24" s="157" t="s">
        <v>15</v>
      </c>
      <c r="G24" s="157" t="s">
        <v>265</v>
      </c>
      <c r="H24" s="1"/>
    </row>
    <row r="25" spans="2:8" ht="18.75" x14ac:dyDescent="0.3">
      <c r="B25" s="150" t="s">
        <v>119</v>
      </c>
      <c r="C25" s="162">
        <f>C23*25/100</f>
        <v>2.5</v>
      </c>
      <c r="D25" s="146">
        <f>10*25/100</f>
        <v>2.5</v>
      </c>
      <c r="E25" s="146">
        <f t="shared" ref="E25:F25" si="3">10*25/100</f>
        <v>2.5</v>
      </c>
      <c r="F25" s="146">
        <f t="shared" si="3"/>
        <v>2.5</v>
      </c>
      <c r="G25" s="162">
        <f>G23*25/100</f>
        <v>2.5</v>
      </c>
      <c r="H25" s="1"/>
    </row>
    <row r="26" spans="2:8" ht="63" x14ac:dyDescent="0.3">
      <c r="B26" s="170" t="s">
        <v>38</v>
      </c>
      <c r="C26" s="157">
        <f t="shared" ref="C26:D26" si="4">10*100/100</f>
        <v>10</v>
      </c>
      <c r="D26" s="157">
        <f t="shared" si="4"/>
        <v>10</v>
      </c>
      <c r="E26" s="157">
        <f>10*100/100</f>
        <v>10</v>
      </c>
      <c r="F26" s="146">
        <f>10*91.4/100</f>
        <v>9.14</v>
      </c>
      <c r="G26" s="146">
        <f>10*88.1/100</f>
        <v>8.81</v>
      </c>
      <c r="H26" s="1"/>
    </row>
    <row r="27" spans="2:8" ht="48" x14ac:dyDescent="0.3">
      <c r="B27" s="150" t="s">
        <v>6</v>
      </c>
      <c r="C27" s="157" t="s">
        <v>267</v>
      </c>
      <c r="D27" s="157" t="s">
        <v>16</v>
      </c>
      <c r="E27" s="157" t="s">
        <v>16</v>
      </c>
      <c r="F27" s="157" t="s">
        <v>266</v>
      </c>
      <c r="G27" s="157" t="s">
        <v>268</v>
      </c>
      <c r="H27" s="1"/>
    </row>
    <row r="28" spans="2:8" ht="18.75" x14ac:dyDescent="0.3">
      <c r="B28" s="150" t="s">
        <v>119</v>
      </c>
      <c r="C28" s="162">
        <f t="shared" ref="C28:E28" si="5">C26*25/100</f>
        <v>2.5</v>
      </c>
      <c r="D28" s="162">
        <f t="shared" si="5"/>
        <v>2.5</v>
      </c>
      <c r="E28" s="162">
        <f t="shared" si="5"/>
        <v>2.5</v>
      </c>
      <c r="F28" s="162">
        <f>F26*25/100</f>
        <v>2.2850000000000001</v>
      </c>
      <c r="G28" s="162">
        <f>G26*25/100</f>
        <v>2.2025000000000001</v>
      </c>
      <c r="H28" s="1"/>
    </row>
    <row r="29" spans="2:8" ht="18.75" x14ac:dyDescent="0.3">
      <c r="B29" s="171" t="s">
        <v>39</v>
      </c>
      <c r="C29" s="146" t="s">
        <v>67</v>
      </c>
      <c r="D29" s="146" t="s">
        <v>156</v>
      </c>
      <c r="E29" s="146" t="s">
        <v>156</v>
      </c>
      <c r="F29" s="146" t="s">
        <v>67</v>
      </c>
      <c r="G29" s="146" t="s">
        <v>67</v>
      </c>
      <c r="H29" s="1"/>
    </row>
    <row r="30" spans="2:8" ht="32.25" x14ac:dyDescent="0.3">
      <c r="B30" s="150" t="s">
        <v>6</v>
      </c>
      <c r="C30" s="172" t="s">
        <v>21</v>
      </c>
      <c r="D30" s="172" t="s">
        <v>155</v>
      </c>
      <c r="E30" s="172" t="s">
        <v>155</v>
      </c>
      <c r="F30" s="172" t="s">
        <v>21</v>
      </c>
      <c r="G30" s="172" t="s">
        <v>21</v>
      </c>
      <c r="H30" s="1"/>
    </row>
    <row r="31" spans="2:8" ht="18.75" x14ac:dyDescent="0.3">
      <c r="B31" s="150" t="s">
        <v>119</v>
      </c>
      <c r="C31" s="169">
        <f>0*25/100</f>
        <v>0</v>
      </c>
      <c r="D31" s="173">
        <f>0.5*25/100</f>
        <v>0.125</v>
      </c>
      <c r="E31" s="173">
        <f>0.5*25/100</f>
        <v>0.125</v>
      </c>
      <c r="F31" s="169">
        <f t="shared" ref="F31:G31" si="6">0*25/100</f>
        <v>0</v>
      </c>
      <c r="G31" s="169">
        <f t="shared" si="6"/>
        <v>0</v>
      </c>
      <c r="H31" s="1"/>
    </row>
    <row r="32" spans="2:8" ht="47.25" x14ac:dyDescent="0.3">
      <c r="B32" s="151" t="s">
        <v>40</v>
      </c>
      <c r="C32" s="169">
        <v>20</v>
      </c>
      <c r="D32" s="169">
        <f t="shared" ref="D32:G32" si="7">1*20</f>
        <v>20</v>
      </c>
      <c r="E32" s="169">
        <f t="shared" si="7"/>
        <v>20</v>
      </c>
      <c r="F32" s="169">
        <f t="shared" si="7"/>
        <v>20</v>
      </c>
      <c r="G32" s="169">
        <f t="shared" si="7"/>
        <v>20</v>
      </c>
      <c r="H32" s="1"/>
    </row>
    <row r="33" spans="2:8" ht="48" x14ac:dyDescent="0.3">
      <c r="B33" s="150" t="s">
        <v>6</v>
      </c>
      <c r="C33" s="172" t="s">
        <v>270</v>
      </c>
      <c r="D33" s="172" t="s">
        <v>84</v>
      </c>
      <c r="E33" s="172" t="s">
        <v>84</v>
      </c>
      <c r="F33" s="172" t="s">
        <v>84</v>
      </c>
      <c r="G33" s="172" t="s">
        <v>84</v>
      </c>
      <c r="H33" s="1"/>
    </row>
    <row r="34" spans="2:8" ht="18.75" x14ac:dyDescent="0.3">
      <c r="B34" s="150" t="s">
        <v>119</v>
      </c>
      <c r="C34" s="169">
        <f>25*C32/100</f>
        <v>5</v>
      </c>
      <c r="D34" s="169">
        <f t="shared" ref="D34:G34" si="8">25*D32/100</f>
        <v>5</v>
      </c>
      <c r="E34" s="169">
        <f t="shared" si="8"/>
        <v>5</v>
      </c>
      <c r="F34" s="169">
        <f t="shared" si="8"/>
        <v>5</v>
      </c>
      <c r="G34" s="169">
        <f t="shared" si="8"/>
        <v>5</v>
      </c>
      <c r="H34" s="1"/>
    </row>
    <row r="35" spans="2:8" ht="47.25" x14ac:dyDescent="0.3">
      <c r="B35" s="155" t="s">
        <v>41</v>
      </c>
      <c r="C35" s="146">
        <f>1*20</f>
        <v>20</v>
      </c>
      <c r="D35" s="146">
        <f t="shared" ref="D35:G35" si="9">1*20</f>
        <v>20</v>
      </c>
      <c r="E35" s="146">
        <f>1*20</f>
        <v>20</v>
      </c>
      <c r="F35" s="146">
        <f t="shared" si="9"/>
        <v>20</v>
      </c>
      <c r="G35" s="146">
        <f t="shared" si="9"/>
        <v>20</v>
      </c>
      <c r="H35" s="1"/>
    </row>
    <row r="36" spans="2:8" ht="48" x14ac:dyDescent="0.3">
      <c r="B36" s="163" t="s">
        <v>6</v>
      </c>
      <c r="C36" s="172" t="s">
        <v>69</v>
      </c>
      <c r="D36" s="172" t="s">
        <v>69</v>
      </c>
      <c r="E36" s="172" t="s">
        <v>69</v>
      </c>
      <c r="F36" s="157" t="s">
        <v>69</v>
      </c>
      <c r="G36" s="172" t="s">
        <v>69</v>
      </c>
      <c r="H36" s="1"/>
    </row>
    <row r="37" spans="2:8" ht="18.75" x14ac:dyDescent="0.3">
      <c r="B37" s="150" t="s">
        <v>119</v>
      </c>
      <c r="C37" s="146">
        <f>25*C35/100</f>
        <v>5</v>
      </c>
      <c r="D37" s="146">
        <f t="shared" ref="D37:G37" si="10">25*D35/100</f>
        <v>5</v>
      </c>
      <c r="E37" s="146">
        <f t="shared" si="10"/>
        <v>5</v>
      </c>
      <c r="F37" s="146">
        <f t="shared" si="10"/>
        <v>5</v>
      </c>
      <c r="G37" s="146">
        <f t="shared" si="10"/>
        <v>5</v>
      </c>
      <c r="H37" s="1"/>
    </row>
    <row r="38" spans="2:8" ht="18.75" x14ac:dyDescent="0.3">
      <c r="B38" s="231" t="s">
        <v>122</v>
      </c>
      <c r="C38" s="231"/>
      <c r="D38" s="231"/>
      <c r="E38" s="231"/>
      <c r="F38" s="231"/>
      <c r="G38" s="231"/>
      <c r="H38" s="1"/>
    </row>
    <row r="39" spans="2:8" ht="78.75" x14ac:dyDescent="0.3">
      <c r="B39" s="151" t="s">
        <v>42</v>
      </c>
      <c r="C39" s="174">
        <f t="shared" ref="C39:G39" si="11">1*35</f>
        <v>35</v>
      </c>
      <c r="D39" s="174">
        <f t="shared" si="11"/>
        <v>35</v>
      </c>
      <c r="E39" s="174">
        <f t="shared" si="11"/>
        <v>35</v>
      </c>
      <c r="F39" s="174">
        <f t="shared" si="11"/>
        <v>35</v>
      </c>
      <c r="G39" s="174">
        <f t="shared" si="11"/>
        <v>35</v>
      </c>
      <c r="H39" s="1"/>
    </row>
    <row r="40" spans="2:8" ht="81" customHeight="1" x14ac:dyDescent="0.3">
      <c r="B40" s="150" t="s">
        <v>6</v>
      </c>
      <c r="C40" s="175" t="s">
        <v>70</v>
      </c>
      <c r="D40" s="175" t="s">
        <v>70</v>
      </c>
      <c r="E40" s="175" t="s">
        <v>70</v>
      </c>
      <c r="F40" s="175" t="s">
        <v>70</v>
      </c>
      <c r="G40" s="175" t="s">
        <v>70</v>
      </c>
      <c r="H40" s="1"/>
    </row>
    <row r="41" spans="2:8" ht="18.75" x14ac:dyDescent="0.3">
      <c r="B41" s="150" t="s">
        <v>119</v>
      </c>
      <c r="C41" s="174">
        <f>16*C39/100</f>
        <v>5.6</v>
      </c>
      <c r="D41" s="174">
        <f t="shared" ref="D41:G41" si="12">16*D39/100</f>
        <v>5.6</v>
      </c>
      <c r="E41" s="174">
        <f t="shared" si="12"/>
        <v>5.6</v>
      </c>
      <c r="F41" s="174">
        <f t="shared" si="12"/>
        <v>5.6</v>
      </c>
      <c r="G41" s="174">
        <f t="shared" si="12"/>
        <v>5.6</v>
      </c>
      <c r="H41" s="1"/>
    </row>
    <row r="42" spans="2:8" ht="63" x14ac:dyDescent="0.3">
      <c r="B42" s="158" t="s">
        <v>43</v>
      </c>
      <c r="C42" s="176">
        <f>1*35</f>
        <v>35</v>
      </c>
      <c r="D42" s="176">
        <f t="shared" ref="D42:G42" si="13">1*35</f>
        <v>35</v>
      </c>
      <c r="E42" s="176">
        <f t="shared" si="13"/>
        <v>35</v>
      </c>
      <c r="F42" s="176">
        <f t="shared" si="13"/>
        <v>35</v>
      </c>
      <c r="G42" s="176">
        <f t="shared" si="13"/>
        <v>35</v>
      </c>
      <c r="H42" s="1"/>
    </row>
    <row r="43" spans="2:8" ht="48" x14ac:dyDescent="0.3">
      <c r="B43" s="150" t="s">
        <v>6</v>
      </c>
      <c r="C43" s="157" t="s">
        <v>71</v>
      </c>
      <c r="D43" s="157" t="s">
        <v>71</v>
      </c>
      <c r="E43" s="157" t="s">
        <v>71</v>
      </c>
      <c r="F43" s="157" t="s">
        <v>71</v>
      </c>
      <c r="G43" s="157" t="s">
        <v>71</v>
      </c>
      <c r="H43" s="1"/>
    </row>
    <row r="44" spans="2:8" ht="18.75" x14ac:dyDescent="0.3">
      <c r="B44" s="150" t="s">
        <v>119</v>
      </c>
      <c r="C44" s="154">
        <f>16*C42/100</f>
        <v>5.6</v>
      </c>
      <c r="D44" s="154">
        <f t="shared" ref="D44:G44" si="14">16*D42/100</f>
        <v>5.6</v>
      </c>
      <c r="E44" s="154">
        <f t="shared" si="14"/>
        <v>5.6</v>
      </c>
      <c r="F44" s="154">
        <f t="shared" si="14"/>
        <v>5.6</v>
      </c>
      <c r="G44" s="154">
        <f t="shared" si="14"/>
        <v>5.6</v>
      </c>
      <c r="H44" s="1"/>
    </row>
    <row r="45" spans="2:8" ht="63" x14ac:dyDescent="0.3">
      <c r="B45" s="155" t="s">
        <v>44</v>
      </c>
      <c r="C45" s="154">
        <f>0*15</f>
        <v>0</v>
      </c>
      <c r="D45" s="154">
        <f t="shared" ref="D45:G45" si="15">0*15</f>
        <v>0</v>
      </c>
      <c r="E45" s="154">
        <f t="shared" si="15"/>
        <v>0</v>
      </c>
      <c r="F45" s="154">
        <f t="shared" si="15"/>
        <v>0</v>
      </c>
      <c r="G45" s="154">
        <f t="shared" si="15"/>
        <v>0</v>
      </c>
      <c r="H45" s="1"/>
    </row>
    <row r="46" spans="2:8" ht="95.25" x14ac:dyDescent="0.3">
      <c r="B46" s="150" t="s">
        <v>6</v>
      </c>
      <c r="C46" s="177" t="s">
        <v>72</v>
      </c>
      <c r="D46" s="157" t="s">
        <v>72</v>
      </c>
      <c r="E46" s="177" t="s">
        <v>72</v>
      </c>
      <c r="F46" s="157" t="s">
        <v>72</v>
      </c>
      <c r="G46" s="159" t="s">
        <v>72</v>
      </c>
      <c r="H46" s="1"/>
    </row>
    <row r="47" spans="2:8" ht="18.75" x14ac:dyDescent="0.3">
      <c r="B47" s="150" t="s">
        <v>119</v>
      </c>
      <c r="C47" s="146">
        <f>16*C45/100</f>
        <v>0</v>
      </c>
      <c r="D47" s="146">
        <f t="shared" ref="D47:G47" si="16">16*D45/100</f>
        <v>0</v>
      </c>
      <c r="E47" s="146">
        <f t="shared" si="16"/>
        <v>0</v>
      </c>
      <c r="F47" s="146">
        <f t="shared" si="16"/>
        <v>0</v>
      </c>
      <c r="G47" s="146">
        <f t="shared" si="16"/>
        <v>0</v>
      </c>
      <c r="H47" s="1"/>
    </row>
    <row r="48" spans="2:8" ht="94.5" x14ac:dyDescent="0.3">
      <c r="B48" s="151" t="s">
        <v>45</v>
      </c>
      <c r="C48" s="146">
        <f>1*15</f>
        <v>15</v>
      </c>
      <c r="D48" s="146">
        <f t="shared" ref="D48:G48" si="17">1*15</f>
        <v>15</v>
      </c>
      <c r="E48" s="146">
        <f t="shared" si="17"/>
        <v>15</v>
      </c>
      <c r="F48" s="146">
        <f t="shared" si="17"/>
        <v>15</v>
      </c>
      <c r="G48" s="146">
        <f t="shared" si="17"/>
        <v>15</v>
      </c>
      <c r="H48" s="1"/>
    </row>
    <row r="49" spans="1:8" ht="32.25" x14ac:dyDescent="0.3">
      <c r="B49" s="150" t="s">
        <v>6</v>
      </c>
      <c r="C49" s="157" t="s">
        <v>271</v>
      </c>
      <c r="D49" s="157" t="s">
        <v>73</v>
      </c>
      <c r="E49" s="157" t="s">
        <v>73</v>
      </c>
      <c r="F49" s="157" t="s">
        <v>73</v>
      </c>
      <c r="G49" s="157" t="s">
        <v>73</v>
      </c>
      <c r="H49" s="1"/>
    </row>
    <row r="50" spans="1:8" ht="18.75" x14ac:dyDescent="0.3">
      <c r="B50" s="150" t="s">
        <v>119</v>
      </c>
      <c r="C50" s="146">
        <f>16*C48/100</f>
        <v>2.4</v>
      </c>
      <c r="D50" s="146">
        <f t="shared" ref="D50:G50" si="18">16*D48/100</f>
        <v>2.4</v>
      </c>
      <c r="E50" s="146">
        <f t="shared" si="18"/>
        <v>2.4</v>
      </c>
      <c r="F50" s="146">
        <f t="shared" si="18"/>
        <v>2.4</v>
      </c>
      <c r="G50" s="146">
        <f t="shared" si="18"/>
        <v>2.4</v>
      </c>
      <c r="H50" s="1"/>
    </row>
    <row r="51" spans="1:8" ht="19.5" thickBot="1" x14ac:dyDescent="0.35">
      <c r="B51" s="236" t="s">
        <v>123</v>
      </c>
      <c r="C51" s="234"/>
      <c r="D51" s="234"/>
      <c r="E51" s="234"/>
      <c r="F51" s="234"/>
      <c r="G51" s="235"/>
      <c r="H51" s="1"/>
    </row>
    <row r="52" spans="1:8" s="144" customFormat="1" ht="31.5" x14ac:dyDescent="0.3">
      <c r="B52" s="145" t="s">
        <v>46</v>
      </c>
      <c r="C52" s="146">
        <f>1*10</f>
        <v>10</v>
      </c>
      <c r="D52" s="146">
        <f t="shared" ref="D52:F52" si="19">1*10</f>
        <v>10</v>
      </c>
      <c r="E52" s="146">
        <f t="shared" si="19"/>
        <v>10</v>
      </c>
      <c r="F52" s="146">
        <f t="shared" si="19"/>
        <v>10</v>
      </c>
      <c r="G52" s="146">
        <f>1*10</f>
        <v>10</v>
      </c>
      <c r="H52" s="147"/>
    </row>
    <row r="53" spans="1:8" s="144" customFormat="1" ht="78.75" x14ac:dyDescent="0.3">
      <c r="B53" s="148" t="s">
        <v>173</v>
      </c>
      <c r="C53" s="149" t="s">
        <v>169</v>
      </c>
      <c r="D53" s="149" t="s">
        <v>272</v>
      </c>
      <c r="E53" s="149" t="s">
        <v>273</v>
      </c>
      <c r="F53" s="149" t="s">
        <v>230</v>
      </c>
      <c r="G53" s="149" t="s">
        <v>231</v>
      </c>
      <c r="H53" s="147"/>
    </row>
    <row r="54" spans="1:8" s="144" customFormat="1" ht="18.75" x14ac:dyDescent="0.3">
      <c r="B54" s="150" t="s">
        <v>119</v>
      </c>
      <c r="C54" s="146">
        <f>16*C52/100</f>
        <v>1.6</v>
      </c>
      <c r="D54" s="146">
        <f t="shared" ref="D54:G54" si="20">16*D52/100</f>
        <v>1.6</v>
      </c>
      <c r="E54" s="146">
        <f t="shared" si="20"/>
        <v>1.6</v>
      </c>
      <c r="F54" s="146">
        <f t="shared" si="20"/>
        <v>1.6</v>
      </c>
      <c r="G54" s="146">
        <f t="shared" si="20"/>
        <v>1.6</v>
      </c>
      <c r="H54" s="147"/>
    </row>
    <row r="55" spans="1:8" s="144" customFormat="1" ht="47.25" x14ac:dyDescent="0.3">
      <c r="A55" s="144" t="s">
        <v>22</v>
      </c>
      <c r="B55" s="151" t="s">
        <v>47</v>
      </c>
      <c r="C55" s="146">
        <v>0</v>
      </c>
      <c r="D55" s="146">
        <f t="shared" ref="D55:E55" si="21">1*60</f>
        <v>60</v>
      </c>
      <c r="E55" s="146">
        <f t="shared" si="21"/>
        <v>60</v>
      </c>
      <c r="F55" s="146">
        <f>1*60</f>
        <v>60</v>
      </c>
      <c r="G55" s="146">
        <v>0</v>
      </c>
      <c r="H55" s="147"/>
    </row>
    <row r="56" spans="1:8" s="144" customFormat="1" ht="63" x14ac:dyDescent="0.3">
      <c r="B56" s="150" t="s">
        <v>6</v>
      </c>
      <c r="C56" s="152" t="s">
        <v>74</v>
      </c>
      <c r="D56" s="153" t="s">
        <v>235</v>
      </c>
      <c r="E56" s="153" t="s">
        <v>235</v>
      </c>
      <c r="F56" s="152" t="s">
        <v>170</v>
      </c>
      <c r="G56" s="152" t="s">
        <v>74</v>
      </c>
      <c r="H56" s="147"/>
    </row>
    <row r="57" spans="1:8" s="144" customFormat="1" ht="18.75" x14ac:dyDescent="0.3">
      <c r="B57" s="150" t="s">
        <v>119</v>
      </c>
      <c r="C57" s="154">
        <f>16*C55/100</f>
        <v>0</v>
      </c>
      <c r="D57" s="154">
        <f t="shared" ref="D57:G57" si="22">16*D55/100</f>
        <v>9.6</v>
      </c>
      <c r="E57" s="154">
        <f t="shared" si="22"/>
        <v>9.6</v>
      </c>
      <c r="F57" s="154">
        <f t="shared" si="22"/>
        <v>9.6</v>
      </c>
      <c r="G57" s="154">
        <f t="shared" si="22"/>
        <v>0</v>
      </c>
      <c r="H57" s="147"/>
    </row>
    <row r="58" spans="1:8" s="144" customFormat="1" ht="18.75" x14ac:dyDescent="0.3">
      <c r="B58" s="155" t="s">
        <v>48</v>
      </c>
      <c r="C58" s="154">
        <f>1*15</f>
        <v>15</v>
      </c>
      <c r="D58" s="154">
        <f t="shared" ref="D58:G58" si="23">1*15</f>
        <v>15</v>
      </c>
      <c r="E58" s="154">
        <f t="shared" si="23"/>
        <v>15</v>
      </c>
      <c r="F58" s="154">
        <f t="shared" si="23"/>
        <v>15</v>
      </c>
      <c r="G58" s="154">
        <f t="shared" si="23"/>
        <v>15</v>
      </c>
      <c r="H58" s="147"/>
    </row>
    <row r="59" spans="1:8" s="144" customFormat="1" ht="68.25" customHeight="1" x14ac:dyDescent="0.3">
      <c r="B59" s="156" t="s">
        <v>233</v>
      </c>
      <c r="C59" s="152" t="s">
        <v>75</v>
      </c>
      <c r="D59" s="157" t="s">
        <v>75</v>
      </c>
      <c r="E59" s="152" t="s">
        <v>75</v>
      </c>
      <c r="F59" s="157" t="s">
        <v>75</v>
      </c>
      <c r="G59" s="152" t="s">
        <v>75</v>
      </c>
      <c r="H59" s="147"/>
    </row>
    <row r="60" spans="1:8" s="144" customFormat="1" ht="18.75" x14ac:dyDescent="0.3">
      <c r="B60" s="150" t="s">
        <v>119</v>
      </c>
      <c r="C60" s="154">
        <f>16*C58/100</f>
        <v>2.4</v>
      </c>
      <c r="D60" s="154">
        <f t="shared" ref="D60:G60" si="24">16*D58/100</f>
        <v>2.4</v>
      </c>
      <c r="E60" s="154">
        <f t="shared" si="24"/>
        <v>2.4</v>
      </c>
      <c r="F60" s="154">
        <f t="shared" si="24"/>
        <v>2.4</v>
      </c>
      <c r="G60" s="154">
        <f t="shared" si="24"/>
        <v>2.4</v>
      </c>
      <c r="H60" s="147"/>
    </row>
    <row r="61" spans="1:8" s="144" customFormat="1" ht="48" x14ac:dyDescent="0.3">
      <c r="B61" s="159" t="s">
        <v>49</v>
      </c>
      <c r="C61" s="154">
        <f>1*15</f>
        <v>15</v>
      </c>
      <c r="D61" s="154">
        <f t="shared" ref="D61:G61" si="25">1*15</f>
        <v>15</v>
      </c>
      <c r="E61" s="154">
        <f t="shared" si="25"/>
        <v>15</v>
      </c>
      <c r="F61" s="154">
        <f t="shared" si="25"/>
        <v>15</v>
      </c>
      <c r="G61" s="154">
        <f t="shared" si="25"/>
        <v>15</v>
      </c>
      <c r="H61" s="147"/>
    </row>
    <row r="62" spans="1:8" s="144" customFormat="1" ht="79.5" x14ac:dyDescent="0.3">
      <c r="B62" s="156" t="s">
        <v>234</v>
      </c>
      <c r="C62" s="146" t="s">
        <v>76</v>
      </c>
      <c r="D62" s="146" t="s">
        <v>76</v>
      </c>
      <c r="E62" s="146" t="s">
        <v>76</v>
      </c>
      <c r="F62" s="146" t="s">
        <v>76</v>
      </c>
      <c r="G62" s="146" t="s">
        <v>76</v>
      </c>
      <c r="H62" s="147"/>
    </row>
    <row r="63" spans="1:8" s="144" customFormat="1" ht="18.75" x14ac:dyDescent="0.3">
      <c r="B63" s="150" t="s">
        <v>119</v>
      </c>
      <c r="C63" s="146">
        <f>16*C61/100</f>
        <v>2.4</v>
      </c>
      <c r="D63" s="146">
        <f t="shared" ref="D63:G63" si="26">16*D61/100</f>
        <v>2.4</v>
      </c>
      <c r="E63" s="146">
        <f t="shared" si="26"/>
        <v>2.4</v>
      </c>
      <c r="F63" s="146">
        <f t="shared" si="26"/>
        <v>2.4</v>
      </c>
      <c r="G63" s="146">
        <f t="shared" si="26"/>
        <v>2.4</v>
      </c>
      <c r="H63" s="147"/>
    </row>
    <row r="64" spans="1:8" ht="18.75" x14ac:dyDescent="0.3">
      <c r="B64" s="231" t="s">
        <v>124</v>
      </c>
      <c r="C64" s="231"/>
      <c r="D64" s="231"/>
      <c r="E64" s="231"/>
      <c r="F64" s="231"/>
      <c r="G64" s="231"/>
      <c r="H64" s="1"/>
    </row>
    <row r="65" spans="2:8" ht="31.5" x14ac:dyDescent="0.3">
      <c r="B65" s="155" t="s">
        <v>50</v>
      </c>
      <c r="C65" s="146">
        <f>1*50</f>
        <v>50</v>
      </c>
      <c r="D65" s="146">
        <f t="shared" ref="D65:G65" si="27">1*50</f>
        <v>50</v>
      </c>
      <c r="E65" s="146">
        <f t="shared" si="27"/>
        <v>50</v>
      </c>
      <c r="F65" s="146">
        <f t="shared" si="27"/>
        <v>50</v>
      </c>
      <c r="G65" s="146">
        <f t="shared" si="27"/>
        <v>50</v>
      </c>
      <c r="H65" s="1"/>
    </row>
    <row r="66" spans="2:8" ht="48" x14ac:dyDescent="0.3">
      <c r="B66" s="150" t="s">
        <v>6</v>
      </c>
      <c r="C66" s="157" t="s">
        <v>77</v>
      </c>
      <c r="D66" s="149" t="s">
        <v>90</v>
      </c>
      <c r="E66" s="149" t="s">
        <v>90</v>
      </c>
      <c r="F66" s="149" t="s">
        <v>90</v>
      </c>
      <c r="G66" s="149" t="s">
        <v>100</v>
      </c>
      <c r="H66" s="1"/>
    </row>
    <row r="67" spans="2:8" ht="18.75" x14ac:dyDescent="0.3">
      <c r="B67" s="150" t="s">
        <v>119</v>
      </c>
      <c r="C67" s="146">
        <f>10*C65/100</f>
        <v>5</v>
      </c>
      <c r="D67" s="146">
        <f t="shared" ref="D67:G67" si="28">10*D65/100</f>
        <v>5</v>
      </c>
      <c r="E67" s="146">
        <f t="shared" si="28"/>
        <v>5</v>
      </c>
      <c r="F67" s="146">
        <f t="shared" si="28"/>
        <v>5</v>
      </c>
      <c r="G67" s="146">
        <f t="shared" si="28"/>
        <v>5</v>
      </c>
      <c r="H67" s="1"/>
    </row>
    <row r="68" spans="2:8" ht="47.25" x14ac:dyDescent="0.3">
      <c r="B68" s="151" t="s">
        <v>51</v>
      </c>
      <c r="C68" s="178">
        <f>1*50</f>
        <v>50</v>
      </c>
      <c r="D68" s="178">
        <f t="shared" ref="D68:G68" si="29">1*50</f>
        <v>50</v>
      </c>
      <c r="E68" s="178">
        <f t="shared" si="29"/>
        <v>50</v>
      </c>
      <c r="F68" s="178">
        <f t="shared" si="29"/>
        <v>50</v>
      </c>
      <c r="G68" s="178">
        <f t="shared" si="29"/>
        <v>50</v>
      </c>
      <c r="H68" s="1"/>
    </row>
    <row r="69" spans="2:8" ht="63.75" x14ac:dyDescent="0.3">
      <c r="B69" s="150" t="s">
        <v>6</v>
      </c>
      <c r="C69" s="157" t="s">
        <v>79</v>
      </c>
      <c r="D69" s="157" t="s">
        <v>79</v>
      </c>
      <c r="E69" s="157" t="s">
        <v>79</v>
      </c>
      <c r="F69" s="157" t="s">
        <v>79</v>
      </c>
      <c r="G69" s="157" t="s">
        <v>79</v>
      </c>
      <c r="H69" s="1"/>
    </row>
    <row r="70" spans="2:8" ht="18.75" x14ac:dyDescent="0.3">
      <c r="B70" s="150" t="s">
        <v>119</v>
      </c>
      <c r="C70" s="146">
        <f>10*C68/100</f>
        <v>5</v>
      </c>
      <c r="D70" s="146">
        <f t="shared" ref="D70:G70" si="30">10*D68/100</f>
        <v>5</v>
      </c>
      <c r="E70" s="146">
        <f t="shared" si="30"/>
        <v>5</v>
      </c>
      <c r="F70" s="146">
        <f t="shared" si="30"/>
        <v>5</v>
      </c>
      <c r="G70" s="146">
        <f t="shared" si="30"/>
        <v>5</v>
      </c>
      <c r="H70" s="1"/>
    </row>
    <row r="71" spans="2:8" ht="18.75" x14ac:dyDescent="0.3">
      <c r="B71" s="231" t="s">
        <v>125</v>
      </c>
      <c r="C71" s="231"/>
      <c r="D71" s="231"/>
      <c r="E71" s="231"/>
      <c r="F71" s="231"/>
      <c r="G71" s="231"/>
      <c r="H71" s="1"/>
    </row>
    <row r="72" spans="2:8" ht="78.75" x14ac:dyDescent="0.3">
      <c r="B72" s="155" t="s">
        <v>52</v>
      </c>
      <c r="C72" s="146">
        <f>1*50</f>
        <v>50</v>
      </c>
      <c r="D72" s="146">
        <f t="shared" ref="D72:G72" si="31">1*50</f>
        <v>50</v>
      </c>
      <c r="E72" s="146">
        <f t="shared" si="31"/>
        <v>50</v>
      </c>
      <c r="F72" s="146">
        <f t="shared" si="31"/>
        <v>50</v>
      </c>
      <c r="G72" s="146">
        <f t="shared" si="31"/>
        <v>50</v>
      </c>
      <c r="H72" s="1"/>
    </row>
    <row r="73" spans="2:8" ht="54" customHeight="1" x14ac:dyDescent="0.3">
      <c r="B73" s="150" t="s">
        <v>6</v>
      </c>
      <c r="C73" s="179" t="s">
        <v>78</v>
      </c>
      <c r="D73" s="149" t="s">
        <v>78</v>
      </c>
      <c r="E73" s="179" t="s">
        <v>78</v>
      </c>
      <c r="F73" s="149" t="s">
        <v>78</v>
      </c>
      <c r="G73" s="180" t="s">
        <v>78</v>
      </c>
      <c r="H73" s="1"/>
    </row>
    <row r="74" spans="2:8" ht="18.75" x14ac:dyDescent="0.3">
      <c r="B74" s="150" t="s">
        <v>119</v>
      </c>
      <c r="C74" s="146">
        <f>8*C72/100</f>
        <v>4</v>
      </c>
      <c r="D74" s="146">
        <f t="shared" ref="D74:G74" si="32">8*D72/100</f>
        <v>4</v>
      </c>
      <c r="E74" s="146">
        <f t="shared" si="32"/>
        <v>4</v>
      </c>
      <c r="F74" s="146">
        <f t="shared" si="32"/>
        <v>4</v>
      </c>
      <c r="G74" s="146">
        <f t="shared" si="32"/>
        <v>4</v>
      </c>
      <c r="H74" s="1"/>
    </row>
    <row r="75" spans="2:8" ht="94.5" x14ac:dyDescent="0.3">
      <c r="B75" s="155" t="s">
        <v>53</v>
      </c>
      <c r="C75" s="146">
        <f>1*50</f>
        <v>50</v>
      </c>
      <c r="D75" s="146">
        <f t="shared" ref="D75:E75" si="33">1*50</f>
        <v>50</v>
      </c>
      <c r="E75" s="146">
        <f t="shared" si="33"/>
        <v>50</v>
      </c>
      <c r="F75" s="146">
        <f>1*50</f>
        <v>50</v>
      </c>
      <c r="G75" s="146">
        <f>1*50</f>
        <v>50</v>
      </c>
      <c r="H75" s="1"/>
    </row>
    <row r="76" spans="2:8" ht="47.25" x14ac:dyDescent="0.3">
      <c r="B76" s="150" t="s">
        <v>6</v>
      </c>
      <c r="C76" s="179" t="s">
        <v>78</v>
      </c>
      <c r="D76" s="149" t="s">
        <v>78</v>
      </c>
      <c r="E76" s="179" t="s">
        <v>78</v>
      </c>
      <c r="F76" s="149" t="s">
        <v>101</v>
      </c>
      <c r="G76" s="149" t="s">
        <v>101</v>
      </c>
      <c r="H76" s="1"/>
    </row>
    <row r="77" spans="2:8" ht="18.75" x14ac:dyDescent="0.3">
      <c r="B77" s="150" t="s">
        <v>119</v>
      </c>
      <c r="C77" s="146">
        <f>8*C75/100</f>
        <v>4</v>
      </c>
      <c r="D77" s="146">
        <f t="shared" ref="D77:G77" si="34">8*D75/100</f>
        <v>4</v>
      </c>
      <c r="E77" s="146">
        <f t="shared" si="34"/>
        <v>4</v>
      </c>
      <c r="F77" s="146">
        <f t="shared" si="34"/>
        <v>4</v>
      </c>
      <c r="G77" s="146">
        <f t="shared" si="34"/>
        <v>4</v>
      </c>
      <c r="H77" s="1"/>
    </row>
    <row r="78" spans="2:8" ht="33.75" x14ac:dyDescent="0.3">
      <c r="B78" s="126" t="s">
        <v>58</v>
      </c>
      <c r="C78" s="127">
        <f>C6+C9+C12+C15+C18+C22+C25+C28+C31+C34+C37+C41+C44+C47+C50+C54+C57+C60+C63+C67+C70+C74+C77</f>
        <v>74.64</v>
      </c>
      <c r="D78" s="127">
        <f t="shared" ref="D78:G78" si="35">D6+D9+D12+D15+D18+D22+D25+D28+D31+D34+D37+D41+D44+D47+D50+D54+D57+D60+D63+D67+D70+D74+D77</f>
        <v>75.224999999999994</v>
      </c>
      <c r="E78" s="127">
        <f t="shared" si="35"/>
        <v>86.905000000000015</v>
      </c>
      <c r="F78" s="128">
        <f t="shared" si="35"/>
        <v>87.355000000000004</v>
      </c>
      <c r="G78" s="127">
        <f t="shared" si="35"/>
        <v>77.652500000000003</v>
      </c>
      <c r="H78" s="1"/>
    </row>
    <row r="79" spans="2:8" ht="18.75" x14ac:dyDescent="0.3">
      <c r="B79" s="129" t="s">
        <v>55</v>
      </c>
      <c r="C79" s="130" t="s">
        <v>200</v>
      </c>
      <c r="D79" s="130" t="s">
        <v>191</v>
      </c>
      <c r="E79" s="130" t="s">
        <v>240</v>
      </c>
      <c r="F79" s="130" t="s">
        <v>189</v>
      </c>
      <c r="G79" s="130" t="s">
        <v>241</v>
      </c>
      <c r="H79" s="1"/>
    </row>
    <row r="80" spans="2:8" ht="33.75" x14ac:dyDescent="0.3">
      <c r="B80" s="126" t="s">
        <v>54</v>
      </c>
      <c r="C80" s="224">
        <f>(C78+D78+E78+F78+G78)/5</f>
        <v>80.355500000000006</v>
      </c>
      <c r="D80" s="225"/>
      <c r="E80" s="225"/>
      <c r="F80" s="225"/>
      <c r="G80" s="226"/>
      <c r="H80" s="1"/>
    </row>
    <row r="81" spans="2:8" ht="75" x14ac:dyDescent="0.3">
      <c r="B81" s="131" t="s">
        <v>57</v>
      </c>
      <c r="C81" s="132">
        <f>100-C78</f>
        <v>25.36</v>
      </c>
      <c r="D81" s="132">
        <f t="shared" ref="D81:G81" si="36">100-D78</f>
        <v>24.775000000000006</v>
      </c>
      <c r="E81" s="132">
        <f t="shared" si="36"/>
        <v>13.094999999999985</v>
      </c>
      <c r="F81" s="132">
        <f t="shared" si="36"/>
        <v>12.644999999999996</v>
      </c>
      <c r="G81" s="132">
        <f t="shared" si="36"/>
        <v>22.347499999999997</v>
      </c>
      <c r="H81" s="1"/>
    </row>
    <row r="82" spans="2:8" ht="94.5" x14ac:dyDescent="0.25">
      <c r="B82" s="126" t="s">
        <v>61</v>
      </c>
      <c r="C82" s="133" t="s">
        <v>115</v>
      </c>
      <c r="D82" s="133" t="s">
        <v>115</v>
      </c>
      <c r="E82" s="133" t="s">
        <v>115</v>
      </c>
      <c r="F82" s="133" t="s">
        <v>115</v>
      </c>
      <c r="G82" s="133" t="s">
        <v>115</v>
      </c>
    </row>
    <row r="84" spans="2:8" ht="18.75" x14ac:dyDescent="0.3">
      <c r="B84" s="108"/>
      <c r="C84" s="108"/>
      <c r="D84" s="108"/>
      <c r="E84" s="108"/>
      <c r="F84" s="108"/>
      <c r="G84" s="108"/>
    </row>
    <row r="85" spans="2:8" ht="18.75" x14ac:dyDescent="0.3">
      <c r="B85" s="108" t="s">
        <v>274</v>
      </c>
      <c r="C85" s="108"/>
      <c r="D85" s="108"/>
      <c r="E85" s="108"/>
      <c r="F85" s="108"/>
      <c r="G85" s="108" t="s">
        <v>118</v>
      </c>
    </row>
    <row r="87" spans="2:8" ht="16.5" x14ac:dyDescent="0.25">
      <c r="B87" s="71" t="s">
        <v>285</v>
      </c>
    </row>
  </sheetData>
  <mergeCells count="8">
    <mergeCell ref="B71:G71"/>
    <mergeCell ref="C80:G80"/>
    <mergeCell ref="B1:G1"/>
    <mergeCell ref="B3:G3"/>
    <mergeCell ref="B19:G19"/>
    <mergeCell ref="B38:G38"/>
    <mergeCell ref="B51:G51"/>
    <mergeCell ref="B64:G64"/>
  </mergeCells>
  <pageMargins left="0.35433070866141736" right="0" top="0.59055118110236227" bottom="0.59055118110236227" header="0.51181102362204722" footer="0.51181102362204722"/>
  <pageSetup paperSize="9" scale="8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view="pageBreakPreview" zoomScale="85" zoomScaleNormal="100" zoomScaleSheetLayoutView="85" workbookViewId="0">
      <selection activeCell="B3" sqref="B3"/>
    </sheetView>
  </sheetViews>
  <sheetFormatPr defaultRowHeight="15" x14ac:dyDescent="0.25"/>
  <cols>
    <col min="1" max="1" width="1.5703125" customWidth="1"/>
    <col min="2" max="2" width="41.7109375" customWidth="1"/>
    <col min="3" max="3" width="21.28515625" customWidth="1"/>
    <col min="4" max="4" width="22.140625" customWidth="1"/>
    <col min="5" max="5" width="22.7109375" customWidth="1"/>
    <col min="6" max="6" width="23.42578125" customWidth="1"/>
  </cols>
  <sheetData>
    <row r="1" spans="2:7" ht="18.75" x14ac:dyDescent="0.3">
      <c r="B1" s="10"/>
      <c r="C1" s="10"/>
      <c r="D1" s="10"/>
      <c r="E1" s="10"/>
      <c r="F1" s="10"/>
      <c r="G1" s="1"/>
    </row>
    <row r="2" spans="2:7" ht="62.25" customHeight="1" x14ac:dyDescent="0.3">
      <c r="B2" s="214" t="s">
        <v>286</v>
      </c>
      <c r="C2" s="214"/>
      <c r="D2" s="214"/>
      <c r="E2" s="214"/>
      <c r="F2" s="214"/>
      <c r="G2" s="1"/>
    </row>
    <row r="3" spans="2:7" ht="48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5</v>
      </c>
      <c r="G3" s="1"/>
    </row>
    <row r="4" spans="2:7" ht="30" x14ac:dyDescent="0.3">
      <c r="B4" s="14" t="s">
        <v>27</v>
      </c>
      <c r="C4" s="134">
        <v>0</v>
      </c>
      <c r="D4" s="134">
        <v>0.5</v>
      </c>
      <c r="E4" s="134">
        <v>0.5</v>
      </c>
      <c r="F4" s="134">
        <v>0</v>
      </c>
      <c r="G4" s="1"/>
    </row>
    <row r="5" spans="2:7" ht="18.75" x14ac:dyDescent="0.3">
      <c r="B5" s="12" t="s">
        <v>6</v>
      </c>
      <c r="C5" s="135" t="s">
        <v>128</v>
      </c>
      <c r="D5" s="136">
        <v>2</v>
      </c>
      <c r="E5" s="136">
        <v>2</v>
      </c>
      <c r="F5" s="135" t="s">
        <v>128</v>
      </c>
      <c r="G5" s="1"/>
    </row>
    <row r="6" spans="2:7" ht="18.75" x14ac:dyDescent="0.3">
      <c r="B6" s="12" t="s">
        <v>26</v>
      </c>
      <c r="C6" s="136">
        <v>0</v>
      </c>
      <c r="D6" s="136">
        <v>12.5</v>
      </c>
      <c r="E6" s="136">
        <v>12.5</v>
      </c>
      <c r="F6" s="136">
        <v>0</v>
      </c>
      <c r="G6" s="1"/>
    </row>
    <row r="7" spans="2:7" ht="63" x14ac:dyDescent="0.3">
      <c r="B7" s="2" t="s">
        <v>30</v>
      </c>
      <c r="C7" s="137">
        <v>1</v>
      </c>
      <c r="D7" s="136">
        <v>1</v>
      </c>
      <c r="E7" s="136">
        <v>1</v>
      </c>
      <c r="F7" s="136">
        <v>1</v>
      </c>
      <c r="G7" s="1"/>
    </row>
    <row r="8" spans="2:7" ht="71.25" customHeight="1" x14ac:dyDescent="0.3">
      <c r="B8" s="12" t="s">
        <v>6</v>
      </c>
      <c r="C8" s="237" t="s">
        <v>63</v>
      </c>
      <c r="D8" s="238"/>
      <c r="E8" s="238"/>
      <c r="F8" s="239"/>
      <c r="G8" s="1"/>
    </row>
    <row r="9" spans="2:7" ht="18.75" x14ac:dyDescent="0.3">
      <c r="B9" s="12" t="s">
        <v>26</v>
      </c>
      <c r="C9" s="135">
        <v>25</v>
      </c>
      <c r="D9" s="136">
        <v>25</v>
      </c>
      <c r="E9" s="136">
        <v>25</v>
      </c>
      <c r="F9" s="136">
        <v>25</v>
      </c>
      <c r="G9" s="1"/>
    </row>
    <row r="10" spans="2:7" ht="63.75" x14ac:dyDescent="0.3">
      <c r="B10" s="7" t="s">
        <v>29</v>
      </c>
      <c r="C10" s="135">
        <v>1</v>
      </c>
      <c r="D10" s="136">
        <v>1</v>
      </c>
      <c r="E10" s="136">
        <v>1</v>
      </c>
      <c r="F10" s="136">
        <v>1</v>
      </c>
      <c r="G10" s="1"/>
    </row>
    <row r="11" spans="2:7" ht="18.75" x14ac:dyDescent="0.3">
      <c r="B11" s="12" t="s">
        <v>6</v>
      </c>
      <c r="C11" s="135" t="s">
        <v>64</v>
      </c>
      <c r="D11" s="139"/>
      <c r="E11" s="139"/>
      <c r="F11" s="139"/>
      <c r="G11" s="1"/>
    </row>
    <row r="12" spans="2:7" ht="18.75" x14ac:dyDescent="0.3">
      <c r="B12" s="12" t="s">
        <v>26</v>
      </c>
      <c r="C12" s="135">
        <v>20</v>
      </c>
      <c r="D12" s="136">
        <v>20</v>
      </c>
      <c r="E12" s="136">
        <v>20</v>
      </c>
      <c r="F12" s="136">
        <v>20</v>
      </c>
      <c r="G12" s="1"/>
    </row>
    <row r="13" spans="2:7" ht="79.5" x14ac:dyDescent="0.3">
      <c r="B13" s="7" t="s">
        <v>28</v>
      </c>
      <c r="C13" s="140">
        <v>1</v>
      </c>
      <c r="D13" s="140">
        <v>1</v>
      </c>
      <c r="E13" s="140">
        <v>1</v>
      </c>
      <c r="F13" s="140">
        <v>1</v>
      </c>
      <c r="G13" s="1"/>
    </row>
    <row r="14" spans="2:7" ht="51.75" x14ac:dyDescent="0.3">
      <c r="B14" s="12" t="s">
        <v>6</v>
      </c>
      <c r="C14" s="141" t="s">
        <v>59</v>
      </c>
      <c r="D14" s="142" t="s">
        <v>59</v>
      </c>
      <c r="E14" s="142" t="s">
        <v>59</v>
      </c>
      <c r="F14" s="141" t="s">
        <v>59</v>
      </c>
      <c r="G14" s="1"/>
    </row>
    <row r="15" spans="2:7" ht="18.75" x14ac:dyDescent="0.3">
      <c r="B15" s="12" t="s">
        <v>26</v>
      </c>
      <c r="C15" s="134">
        <f>30*1</f>
        <v>30</v>
      </c>
      <c r="D15" s="134">
        <f t="shared" ref="D15:F15" si="0">30*1</f>
        <v>30</v>
      </c>
      <c r="E15" s="134">
        <f t="shared" si="0"/>
        <v>30</v>
      </c>
      <c r="F15" s="134">
        <f t="shared" si="0"/>
        <v>30</v>
      </c>
      <c r="G15" s="1"/>
    </row>
    <row r="16" spans="2:7" ht="30" customHeight="1" x14ac:dyDescent="0.3">
      <c r="B16" s="53" t="s">
        <v>58</v>
      </c>
      <c r="C16" s="39">
        <f>C6+C9+C12+C15</f>
        <v>75</v>
      </c>
      <c r="D16" s="39">
        <f t="shared" ref="D16:F16" si="1">D6+D9+D12+D15</f>
        <v>87.5</v>
      </c>
      <c r="E16" s="39">
        <f t="shared" si="1"/>
        <v>87.5</v>
      </c>
      <c r="F16" s="39">
        <f t="shared" si="1"/>
        <v>75</v>
      </c>
      <c r="G16" s="1"/>
    </row>
    <row r="17" spans="2:7" ht="18.75" x14ac:dyDescent="0.3">
      <c r="B17" s="37" t="s">
        <v>55</v>
      </c>
      <c r="C17" s="40" t="s">
        <v>245</v>
      </c>
      <c r="D17" s="40" t="s">
        <v>244</v>
      </c>
      <c r="E17" s="40" t="s">
        <v>244</v>
      </c>
      <c r="F17" s="40" t="s">
        <v>245</v>
      </c>
      <c r="G17" s="1"/>
    </row>
    <row r="18" spans="2:7" ht="33.75" x14ac:dyDescent="0.3">
      <c r="B18" s="53" t="s">
        <v>54</v>
      </c>
      <c r="C18" s="215">
        <f>(C16+D16+E16+F16)/4</f>
        <v>81.25</v>
      </c>
      <c r="D18" s="216"/>
      <c r="E18" s="216"/>
      <c r="F18" s="217"/>
      <c r="G18" s="1"/>
    </row>
    <row r="19" spans="2:7" ht="93.75" x14ac:dyDescent="0.3">
      <c r="B19" s="38" t="s">
        <v>57</v>
      </c>
      <c r="C19" s="48">
        <f>100-C16</f>
        <v>25</v>
      </c>
      <c r="D19" s="48">
        <f t="shared" ref="D19:F19" si="2">100-D16</f>
        <v>12.5</v>
      </c>
      <c r="E19" s="48">
        <f t="shared" si="2"/>
        <v>12.5</v>
      </c>
      <c r="F19" s="48">
        <f t="shared" si="2"/>
        <v>25</v>
      </c>
      <c r="G19" s="1"/>
    </row>
    <row r="20" spans="2:7" ht="69" customHeight="1" x14ac:dyDescent="0.3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1"/>
    </row>
    <row r="21" spans="2:7" ht="18.75" x14ac:dyDescent="0.3">
      <c r="B21" s="1"/>
    </row>
    <row r="22" spans="2:7" ht="16.5" x14ac:dyDescent="0.25">
      <c r="B22" s="71" t="s">
        <v>274</v>
      </c>
      <c r="C22" s="71"/>
      <c r="D22" s="71"/>
      <c r="E22" s="71"/>
      <c r="F22" s="71" t="s">
        <v>118</v>
      </c>
    </row>
    <row r="23" spans="2:7" ht="16.5" x14ac:dyDescent="0.25">
      <c r="B23" s="71"/>
      <c r="C23" s="71"/>
      <c r="D23" s="71"/>
      <c r="E23" s="71"/>
      <c r="F23" s="71"/>
    </row>
    <row r="24" spans="2:7" ht="16.5" x14ac:dyDescent="0.25">
      <c r="B24" s="71" t="s">
        <v>185</v>
      </c>
      <c r="C24" s="71"/>
      <c r="D24" s="71"/>
      <c r="E24" s="71"/>
      <c r="F24" s="71"/>
    </row>
  </sheetData>
  <mergeCells count="3">
    <mergeCell ref="B2:F2"/>
    <mergeCell ref="C18:F18"/>
    <mergeCell ref="C8:F8"/>
  </mergeCells>
  <pageMargins left="0.35433070866141736" right="0.15748031496062992" top="0.78740157480314965" bottom="0.59055118110236227" header="0.51181102362204722" footer="0.51181102362204722"/>
  <pageSetup paperSize="9" fitToHeight="2" orientation="landscape" r:id="rId1"/>
  <rowBreaks count="1" manualBreakCount="1">
    <brk id="13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view="pageBreakPreview" zoomScale="85" zoomScaleNormal="100" zoomScaleSheetLayoutView="85" workbookViewId="0">
      <selection activeCell="J10" sqref="J10"/>
    </sheetView>
  </sheetViews>
  <sheetFormatPr defaultRowHeight="15" x14ac:dyDescent="0.25"/>
  <cols>
    <col min="1" max="1" width="1.5703125" customWidth="1"/>
    <col min="2" max="2" width="41.7109375" customWidth="1"/>
    <col min="3" max="3" width="21.28515625" customWidth="1"/>
    <col min="4" max="4" width="22.140625" customWidth="1"/>
    <col min="5" max="5" width="22.7109375" customWidth="1"/>
    <col min="6" max="6" width="23.42578125" customWidth="1"/>
  </cols>
  <sheetData>
    <row r="1" spans="2:7" ht="18.75" x14ac:dyDescent="0.3">
      <c r="B1" s="10"/>
      <c r="C1" s="10"/>
      <c r="D1" s="10"/>
      <c r="E1" s="10"/>
      <c r="F1" s="10"/>
      <c r="G1" s="1"/>
    </row>
    <row r="2" spans="2:7" ht="62.25" customHeight="1" x14ac:dyDescent="0.3">
      <c r="B2" s="214" t="s">
        <v>287</v>
      </c>
      <c r="C2" s="214"/>
      <c r="D2" s="214"/>
      <c r="E2" s="214"/>
      <c r="F2" s="214"/>
      <c r="G2" s="1"/>
    </row>
    <row r="3" spans="2:7" ht="48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5</v>
      </c>
      <c r="G3" s="1"/>
    </row>
    <row r="4" spans="2:7" ht="31.5" x14ac:dyDescent="0.3">
      <c r="B4" s="143" t="s">
        <v>249</v>
      </c>
      <c r="C4" s="134">
        <v>0</v>
      </c>
      <c r="D4" s="134">
        <v>0.5</v>
      </c>
      <c r="E4" s="134">
        <v>0.5</v>
      </c>
      <c r="F4" s="134">
        <v>0</v>
      </c>
      <c r="G4" s="1"/>
    </row>
    <row r="5" spans="2:7" ht="18.75" x14ac:dyDescent="0.3">
      <c r="B5" s="12" t="s">
        <v>6</v>
      </c>
      <c r="C5" s="135" t="s">
        <v>128</v>
      </c>
      <c r="D5" s="136">
        <v>3</v>
      </c>
      <c r="E5" s="136">
        <v>2</v>
      </c>
      <c r="F5" s="135" t="s">
        <v>128</v>
      </c>
      <c r="G5" s="1"/>
    </row>
    <row r="6" spans="2:7" ht="18.75" x14ac:dyDescent="0.3">
      <c r="B6" s="12" t="s">
        <v>26</v>
      </c>
      <c r="C6" s="136">
        <v>0</v>
      </c>
      <c r="D6" s="136">
        <v>12.5</v>
      </c>
      <c r="E6" s="136">
        <v>12.5</v>
      </c>
      <c r="F6" s="136">
        <v>0</v>
      </c>
      <c r="G6" s="1"/>
    </row>
    <row r="7" spans="2:7" ht="63" x14ac:dyDescent="0.3">
      <c r="B7" s="2" t="s">
        <v>30</v>
      </c>
      <c r="C7" s="137">
        <v>1</v>
      </c>
      <c r="D7" s="136">
        <v>1</v>
      </c>
      <c r="E7" s="136">
        <v>1</v>
      </c>
      <c r="F7" s="136">
        <v>1</v>
      </c>
      <c r="G7" s="1"/>
    </row>
    <row r="8" spans="2:7" ht="71.25" customHeight="1" x14ac:dyDescent="0.3">
      <c r="B8" s="12" t="s">
        <v>6</v>
      </c>
      <c r="C8" s="237" t="s">
        <v>63</v>
      </c>
      <c r="D8" s="238"/>
      <c r="E8" s="238"/>
      <c r="F8" s="239"/>
      <c r="G8" s="1"/>
    </row>
    <row r="9" spans="2:7" ht="18.75" x14ac:dyDescent="0.3">
      <c r="B9" s="12" t="s">
        <v>26</v>
      </c>
      <c r="C9" s="135">
        <v>25</v>
      </c>
      <c r="D9" s="136">
        <v>25</v>
      </c>
      <c r="E9" s="136">
        <v>25</v>
      </c>
      <c r="F9" s="136">
        <v>25</v>
      </c>
      <c r="G9" s="1"/>
    </row>
    <row r="10" spans="2:7" ht="63.75" x14ac:dyDescent="0.3">
      <c r="B10" s="7" t="s">
        <v>29</v>
      </c>
      <c r="C10" s="135">
        <v>1</v>
      </c>
      <c r="D10" s="136">
        <v>1</v>
      </c>
      <c r="E10" s="136">
        <v>1</v>
      </c>
      <c r="F10" s="136">
        <v>1</v>
      </c>
      <c r="G10" s="1"/>
    </row>
    <row r="11" spans="2:7" ht="18.75" x14ac:dyDescent="0.3">
      <c r="B11" s="12" t="s">
        <v>6</v>
      </c>
      <c r="C11" s="135" t="s">
        <v>64</v>
      </c>
      <c r="D11" s="139"/>
      <c r="E11" s="139"/>
      <c r="F11" s="139"/>
      <c r="G11" s="1"/>
    </row>
    <row r="12" spans="2:7" ht="18.75" x14ac:dyDescent="0.3">
      <c r="B12" s="12" t="s">
        <v>26</v>
      </c>
      <c r="C12" s="135">
        <v>20</v>
      </c>
      <c r="D12" s="136">
        <v>20</v>
      </c>
      <c r="E12" s="136">
        <v>20</v>
      </c>
      <c r="F12" s="136">
        <v>20</v>
      </c>
      <c r="G12" s="1"/>
    </row>
    <row r="13" spans="2:7" ht="79.5" x14ac:dyDescent="0.3">
      <c r="B13" s="7" t="s">
        <v>28</v>
      </c>
      <c r="C13" s="140">
        <v>1</v>
      </c>
      <c r="D13" s="140">
        <v>1</v>
      </c>
      <c r="E13" s="140">
        <v>1</v>
      </c>
      <c r="F13" s="140">
        <v>1</v>
      </c>
      <c r="G13" s="1"/>
    </row>
    <row r="14" spans="2:7" ht="51.75" x14ac:dyDescent="0.3">
      <c r="B14" s="12" t="s">
        <v>6</v>
      </c>
      <c r="C14" s="141" t="s">
        <v>59</v>
      </c>
      <c r="D14" s="142" t="s">
        <v>59</v>
      </c>
      <c r="E14" s="142" t="s">
        <v>59</v>
      </c>
      <c r="F14" s="141" t="s">
        <v>59</v>
      </c>
      <c r="G14" s="1"/>
    </row>
    <row r="15" spans="2:7" ht="18.75" x14ac:dyDescent="0.3">
      <c r="B15" s="12" t="s">
        <v>26</v>
      </c>
      <c r="C15" s="134">
        <f>30*1</f>
        <v>30</v>
      </c>
      <c r="D15" s="134">
        <f t="shared" ref="D15:F15" si="0">30*1</f>
        <v>30</v>
      </c>
      <c r="E15" s="134">
        <f t="shared" si="0"/>
        <v>30</v>
      </c>
      <c r="F15" s="134">
        <f t="shared" si="0"/>
        <v>30</v>
      </c>
      <c r="G15" s="1"/>
    </row>
    <row r="16" spans="2:7" ht="30" customHeight="1" x14ac:dyDescent="0.3">
      <c r="B16" s="53" t="s">
        <v>58</v>
      </c>
      <c r="C16" s="39">
        <f>C6+C9+C12+C15</f>
        <v>75</v>
      </c>
      <c r="D16" s="39">
        <f t="shared" ref="D16:F16" si="1">D6+D9+D12+D15</f>
        <v>87.5</v>
      </c>
      <c r="E16" s="39">
        <f t="shared" si="1"/>
        <v>87.5</v>
      </c>
      <c r="F16" s="39">
        <f t="shared" si="1"/>
        <v>75</v>
      </c>
      <c r="G16" s="1"/>
    </row>
    <row r="17" spans="2:7" ht="18.75" x14ac:dyDescent="0.3">
      <c r="B17" s="37" t="s">
        <v>55</v>
      </c>
      <c r="C17" s="40" t="s">
        <v>245</v>
      </c>
      <c r="D17" s="40" t="s">
        <v>244</v>
      </c>
      <c r="E17" s="40" t="s">
        <v>244</v>
      </c>
      <c r="F17" s="40" t="s">
        <v>245</v>
      </c>
      <c r="G17" s="1"/>
    </row>
    <row r="18" spans="2:7" ht="33.75" x14ac:dyDescent="0.3">
      <c r="B18" s="53" t="s">
        <v>54</v>
      </c>
      <c r="C18" s="215">
        <f>(C16+D16+E16+F16)/4</f>
        <v>81.25</v>
      </c>
      <c r="D18" s="216"/>
      <c r="E18" s="216"/>
      <c r="F18" s="217"/>
      <c r="G18" s="1"/>
    </row>
    <row r="19" spans="2:7" ht="93.75" x14ac:dyDescent="0.3">
      <c r="B19" s="38" t="s">
        <v>57</v>
      </c>
      <c r="C19" s="48">
        <f>100-C16</f>
        <v>25</v>
      </c>
      <c r="D19" s="48">
        <f t="shared" ref="D19:F19" si="2">100-D16</f>
        <v>12.5</v>
      </c>
      <c r="E19" s="48">
        <f t="shared" si="2"/>
        <v>12.5</v>
      </c>
      <c r="F19" s="48">
        <f t="shared" si="2"/>
        <v>25</v>
      </c>
      <c r="G19" s="1"/>
    </row>
    <row r="20" spans="2:7" ht="69" customHeight="1" x14ac:dyDescent="0.3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1"/>
    </row>
    <row r="21" spans="2:7" ht="18.75" x14ac:dyDescent="0.3">
      <c r="B21" s="1"/>
    </row>
    <row r="22" spans="2:7" ht="16.5" x14ac:dyDescent="0.25">
      <c r="B22" s="71" t="s">
        <v>274</v>
      </c>
      <c r="C22" s="71"/>
      <c r="D22" s="71"/>
      <c r="E22" s="71"/>
      <c r="F22" s="71" t="s">
        <v>118</v>
      </c>
    </row>
    <row r="23" spans="2:7" ht="16.5" x14ac:dyDescent="0.25">
      <c r="B23" s="71"/>
      <c r="C23" s="71"/>
      <c r="D23" s="71"/>
      <c r="E23" s="71"/>
      <c r="F23" s="71"/>
    </row>
    <row r="24" spans="2:7" ht="16.5" x14ac:dyDescent="0.25">
      <c r="B24" s="71" t="s">
        <v>185</v>
      </c>
      <c r="C24" s="71"/>
      <c r="D24" s="71"/>
      <c r="E24" s="71"/>
      <c r="F24" s="71"/>
    </row>
  </sheetData>
  <mergeCells count="3">
    <mergeCell ref="B2:F2"/>
    <mergeCell ref="C8:F8"/>
    <mergeCell ref="C18:F18"/>
  </mergeCells>
  <pageMargins left="0.35433070866141736" right="0.15748031496062992" top="0.78740157480314965" bottom="0.59055118110236227" header="0.51181102362204722" footer="0.51181102362204722"/>
  <pageSetup paperSize="9" fitToHeight="2" orientation="landscape" r:id="rId1"/>
  <rowBreaks count="1" manualBreakCount="1">
    <brk id="13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view="pageBreakPreview" zoomScale="85" zoomScaleNormal="100" zoomScaleSheetLayoutView="85" workbookViewId="0">
      <selection activeCell="B10" sqref="B10"/>
    </sheetView>
  </sheetViews>
  <sheetFormatPr defaultRowHeight="15" x14ac:dyDescent="0.25"/>
  <cols>
    <col min="1" max="1" width="1.5703125" customWidth="1"/>
    <col min="2" max="2" width="41.7109375" customWidth="1"/>
    <col min="3" max="3" width="21.28515625" customWidth="1"/>
    <col min="4" max="4" width="22.140625" customWidth="1"/>
    <col min="5" max="5" width="22.7109375" customWidth="1"/>
    <col min="6" max="6" width="23.42578125" customWidth="1"/>
  </cols>
  <sheetData>
    <row r="1" spans="2:7" ht="18.75" x14ac:dyDescent="0.3">
      <c r="B1" s="10"/>
      <c r="C1" s="10"/>
      <c r="D1" s="10"/>
      <c r="E1" s="10"/>
      <c r="F1" s="10"/>
      <c r="G1" s="1"/>
    </row>
    <row r="2" spans="2:7" ht="62.25" customHeight="1" x14ac:dyDescent="0.3">
      <c r="B2" s="214" t="s">
        <v>288</v>
      </c>
      <c r="C2" s="214"/>
      <c r="D2" s="214"/>
      <c r="E2" s="214"/>
      <c r="F2" s="214"/>
      <c r="G2" s="1"/>
    </row>
    <row r="3" spans="2:7" ht="48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5</v>
      </c>
      <c r="G3" s="1"/>
    </row>
    <row r="4" spans="2:7" ht="31.5" x14ac:dyDescent="0.3">
      <c r="B4" s="143" t="s">
        <v>249</v>
      </c>
      <c r="C4" s="134">
        <v>0</v>
      </c>
      <c r="D4" s="134">
        <v>0.5</v>
      </c>
      <c r="E4" s="134">
        <v>0.5</v>
      </c>
      <c r="F4" s="134">
        <v>0</v>
      </c>
      <c r="G4" s="1"/>
    </row>
    <row r="5" spans="2:7" ht="18.75" x14ac:dyDescent="0.3">
      <c r="B5" s="12" t="s">
        <v>6</v>
      </c>
      <c r="C5" s="135" t="s">
        <v>128</v>
      </c>
      <c r="D5" s="136">
        <v>4</v>
      </c>
      <c r="E5" s="136">
        <v>5</v>
      </c>
      <c r="F5" s="135" t="s">
        <v>128</v>
      </c>
      <c r="G5" s="1"/>
    </row>
    <row r="6" spans="2:7" ht="18.75" x14ac:dyDescent="0.3">
      <c r="B6" s="12" t="s">
        <v>26</v>
      </c>
      <c r="C6" s="136">
        <v>0</v>
      </c>
      <c r="D6" s="136">
        <v>12.5</v>
      </c>
      <c r="E6" s="136">
        <v>12.5</v>
      </c>
      <c r="F6" s="136">
        <v>0</v>
      </c>
      <c r="G6" s="1"/>
    </row>
    <row r="7" spans="2:7" ht="63" x14ac:dyDescent="0.3">
      <c r="B7" s="2" t="s">
        <v>30</v>
      </c>
      <c r="C7" s="137">
        <v>1</v>
      </c>
      <c r="D7" s="136">
        <v>1</v>
      </c>
      <c r="E7" s="136">
        <v>1</v>
      </c>
      <c r="F7" s="136">
        <v>1</v>
      </c>
      <c r="G7" s="1"/>
    </row>
    <row r="8" spans="2:7" ht="71.25" customHeight="1" x14ac:dyDescent="0.3">
      <c r="B8" s="12" t="s">
        <v>6</v>
      </c>
      <c r="C8" s="237" t="s">
        <v>63</v>
      </c>
      <c r="D8" s="238"/>
      <c r="E8" s="238"/>
      <c r="F8" s="239"/>
      <c r="G8" s="1"/>
    </row>
    <row r="9" spans="2:7" ht="18.75" x14ac:dyDescent="0.3">
      <c r="B9" s="12" t="s">
        <v>26</v>
      </c>
      <c r="C9" s="135">
        <v>25</v>
      </c>
      <c r="D9" s="136">
        <v>25</v>
      </c>
      <c r="E9" s="136">
        <v>25</v>
      </c>
      <c r="F9" s="136">
        <v>25</v>
      </c>
      <c r="G9" s="1"/>
    </row>
    <row r="10" spans="2:7" ht="63.75" x14ac:dyDescent="0.3">
      <c r="B10" s="7" t="s">
        <v>29</v>
      </c>
      <c r="C10" s="135">
        <v>1</v>
      </c>
      <c r="D10" s="136">
        <v>1</v>
      </c>
      <c r="E10" s="136">
        <v>1</v>
      </c>
      <c r="F10" s="136">
        <v>1</v>
      </c>
      <c r="G10" s="1"/>
    </row>
    <row r="11" spans="2:7" ht="18.75" x14ac:dyDescent="0.3">
      <c r="B11" s="12" t="s">
        <v>6</v>
      </c>
      <c r="C11" s="135" t="s">
        <v>64</v>
      </c>
      <c r="D11" s="139"/>
      <c r="E11" s="139"/>
      <c r="F11" s="139"/>
      <c r="G11" s="1"/>
    </row>
    <row r="12" spans="2:7" ht="18.75" x14ac:dyDescent="0.3">
      <c r="B12" s="12" t="s">
        <v>26</v>
      </c>
      <c r="C12" s="135">
        <v>20</v>
      </c>
      <c r="D12" s="136">
        <v>20</v>
      </c>
      <c r="E12" s="136">
        <v>20</v>
      </c>
      <c r="F12" s="136">
        <v>20</v>
      </c>
      <c r="G12" s="1"/>
    </row>
    <row r="13" spans="2:7" ht="79.5" x14ac:dyDescent="0.3">
      <c r="B13" s="7" t="s">
        <v>28</v>
      </c>
      <c r="C13" s="140">
        <v>1</v>
      </c>
      <c r="D13" s="140">
        <v>1</v>
      </c>
      <c r="E13" s="140">
        <v>1</v>
      </c>
      <c r="F13" s="140">
        <v>1</v>
      </c>
      <c r="G13" s="1"/>
    </row>
    <row r="14" spans="2:7" ht="51.75" x14ac:dyDescent="0.3">
      <c r="B14" s="12" t="s">
        <v>6</v>
      </c>
      <c r="C14" s="141" t="s">
        <v>59</v>
      </c>
      <c r="D14" s="142" t="s">
        <v>59</v>
      </c>
      <c r="E14" s="142" t="s">
        <v>59</v>
      </c>
      <c r="F14" s="141" t="s">
        <v>59</v>
      </c>
      <c r="G14" s="1"/>
    </row>
    <row r="15" spans="2:7" ht="18.75" x14ac:dyDescent="0.3">
      <c r="B15" s="12" t="s">
        <v>26</v>
      </c>
      <c r="C15" s="134">
        <f>30*1</f>
        <v>30</v>
      </c>
      <c r="D15" s="134">
        <f t="shared" ref="D15:F15" si="0">30*1</f>
        <v>30</v>
      </c>
      <c r="E15" s="134">
        <f t="shared" si="0"/>
        <v>30</v>
      </c>
      <c r="F15" s="134">
        <f t="shared" si="0"/>
        <v>30</v>
      </c>
      <c r="G15" s="1"/>
    </row>
    <row r="16" spans="2:7" ht="30" customHeight="1" x14ac:dyDescent="0.3">
      <c r="B16" s="53" t="s">
        <v>58</v>
      </c>
      <c r="C16" s="39">
        <f>C6+C9+C12+C15</f>
        <v>75</v>
      </c>
      <c r="D16" s="39">
        <f t="shared" ref="D16:F16" si="1">D6+D9+D12+D15</f>
        <v>87.5</v>
      </c>
      <c r="E16" s="39">
        <f t="shared" si="1"/>
        <v>87.5</v>
      </c>
      <c r="F16" s="39">
        <f t="shared" si="1"/>
        <v>75</v>
      </c>
      <c r="G16" s="1"/>
    </row>
    <row r="17" spans="2:7" ht="18.75" x14ac:dyDescent="0.3">
      <c r="B17" s="37" t="s">
        <v>55</v>
      </c>
      <c r="C17" s="40" t="s">
        <v>245</v>
      </c>
      <c r="D17" s="40" t="s">
        <v>244</v>
      </c>
      <c r="E17" s="40" t="s">
        <v>244</v>
      </c>
      <c r="F17" s="40" t="s">
        <v>245</v>
      </c>
      <c r="G17" s="1"/>
    </row>
    <row r="18" spans="2:7" ht="33.75" x14ac:dyDescent="0.3">
      <c r="B18" s="53" t="s">
        <v>54</v>
      </c>
      <c r="C18" s="215">
        <f>(C16+D16+E16+F16)/4</f>
        <v>81.25</v>
      </c>
      <c r="D18" s="216"/>
      <c r="E18" s="216"/>
      <c r="F18" s="217"/>
      <c r="G18" s="1"/>
    </row>
    <row r="19" spans="2:7" ht="93.75" x14ac:dyDescent="0.3">
      <c r="B19" s="38" t="s">
        <v>57</v>
      </c>
      <c r="C19" s="48">
        <f>100-C16</f>
        <v>25</v>
      </c>
      <c r="D19" s="48">
        <f t="shared" ref="D19:F19" si="2">100-D16</f>
        <v>12.5</v>
      </c>
      <c r="E19" s="48">
        <f t="shared" si="2"/>
        <v>12.5</v>
      </c>
      <c r="F19" s="48">
        <f t="shared" si="2"/>
        <v>25</v>
      </c>
      <c r="G19" s="1"/>
    </row>
    <row r="20" spans="2:7" ht="69" customHeight="1" x14ac:dyDescent="0.3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1"/>
    </row>
    <row r="21" spans="2:7" ht="18.75" x14ac:dyDescent="0.3">
      <c r="B21" s="1"/>
    </row>
    <row r="22" spans="2:7" ht="16.5" x14ac:dyDescent="0.25">
      <c r="B22" s="71" t="s">
        <v>274</v>
      </c>
      <c r="C22" s="71"/>
      <c r="D22" s="71"/>
      <c r="E22" s="71"/>
      <c r="F22" s="71" t="s">
        <v>118</v>
      </c>
    </row>
    <row r="23" spans="2:7" ht="16.5" x14ac:dyDescent="0.25">
      <c r="B23" s="71"/>
      <c r="C23" s="71"/>
      <c r="D23" s="71"/>
      <c r="E23" s="71"/>
      <c r="F23" s="71"/>
    </row>
    <row r="24" spans="2:7" ht="16.5" x14ac:dyDescent="0.25">
      <c r="B24" s="71" t="s">
        <v>289</v>
      </c>
      <c r="C24" s="71"/>
      <c r="D24" s="71"/>
      <c r="E24" s="71"/>
      <c r="F24" s="71"/>
    </row>
  </sheetData>
  <mergeCells count="3">
    <mergeCell ref="B2:F2"/>
    <mergeCell ref="C8:F8"/>
    <mergeCell ref="C18:F18"/>
  </mergeCells>
  <pageMargins left="0.35433070866141736" right="0.15748031496062992" top="0.78740157480314965" bottom="0.59055118110236227" header="0.51181102362204722" footer="0.51181102362204722"/>
  <pageSetup paperSize="9" fitToHeight="2" orientation="landscape" r:id="rId1"/>
  <rowBreaks count="1" manualBreakCount="1">
    <brk id="13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zoomScale="85" zoomScaleNormal="85" workbookViewId="0">
      <pane ySplit="2" topLeftCell="A21" activePane="bottomLeft" state="frozen"/>
      <selection pane="bottomLeft" activeCell="J7" sqref="J7"/>
    </sheetView>
  </sheetViews>
  <sheetFormatPr defaultRowHeight="15" x14ac:dyDescent="0.25"/>
  <cols>
    <col min="1" max="1" width="1.5703125" customWidth="1"/>
    <col min="2" max="2" width="42" customWidth="1"/>
    <col min="3" max="3" width="27.140625" customWidth="1"/>
    <col min="4" max="4" width="26" customWidth="1"/>
    <col min="5" max="5" width="26.28515625" customWidth="1"/>
    <col min="6" max="6" width="25.42578125" customWidth="1"/>
  </cols>
  <sheetData>
    <row r="1" spans="2:7" ht="61.5" customHeight="1" x14ac:dyDescent="0.25">
      <c r="B1" s="208" t="s">
        <v>290</v>
      </c>
      <c r="C1" s="208"/>
      <c r="D1" s="208"/>
      <c r="E1" s="208"/>
      <c r="F1" s="208"/>
    </row>
    <row r="2" spans="2:7" ht="32.25" x14ac:dyDescent="0.3">
      <c r="B2" s="9" t="s">
        <v>0</v>
      </c>
      <c r="C2" s="7" t="s">
        <v>1</v>
      </c>
      <c r="D2" s="61" t="s">
        <v>2</v>
      </c>
      <c r="E2" s="62" t="s">
        <v>3</v>
      </c>
      <c r="F2" s="62" t="s">
        <v>5</v>
      </c>
      <c r="G2" s="1"/>
    </row>
    <row r="3" spans="2:7" ht="18.75" x14ac:dyDescent="0.3">
      <c r="B3" s="232" t="s">
        <v>120</v>
      </c>
      <c r="C3" s="232"/>
      <c r="D3" s="232"/>
      <c r="E3" s="232"/>
      <c r="F3" s="232"/>
      <c r="G3" s="1"/>
    </row>
    <row r="4" spans="2:7" ht="47.25" x14ac:dyDescent="0.3">
      <c r="B4" s="155" t="s">
        <v>31</v>
      </c>
      <c r="C4" s="146">
        <f>20*83.9/100</f>
        <v>16.78</v>
      </c>
      <c r="D4" s="162">
        <f>20*0/100</f>
        <v>0</v>
      </c>
      <c r="E4" s="162">
        <f>20*96.4/100</f>
        <v>19.28</v>
      </c>
      <c r="F4" s="162">
        <f>20*99.7/100</f>
        <v>19.940000000000001</v>
      </c>
      <c r="G4" s="1"/>
    </row>
    <row r="5" spans="2:7" ht="18.75" x14ac:dyDescent="0.3">
      <c r="B5" s="163" t="s">
        <v>6</v>
      </c>
      <c r="C5" s="181" t="s">
        <v>291</v>
      </c>
      <c r="D5" s="181" t="s">
        <v>292</v>
      </c>
      <c r="E5" s="181" t="s">
        <v>293</v>
      </c>
      <c r="F5" s="181" t="s">
        <v>294</v>
      </c>
      <c r="G5" s="1"/>
    </row>
    <row r="6" spans="2:7" ht="18.75" x14ac:dyDescent="0.3">
      <c r="B6" s="150" t="s">
        <v>119</v>
      </c>
      <c r="C6" s="162">
        <f>25*C4/100</f>
        <v>4.1950000000000003</v>
      </c>
      <c r="D6" s="162">
        <f>25*D4/100</f>
        <v>0</v>
      </c>
      <c r="E6" s="162">
        <f>25*E4/100</f>
        <v>4.82</v>
      </c>
      <c r="F6" s="162">
        <f>25*F4/100</f>
        <v>4.9850000000000003</v>
      </c>
      <c r="G6" s="1"/>
    </row>
    <row r="7" spans="2:7" ht="94.5" x14ac:dyDescent="0.3">
      <c r="B7" s="155" t="s">
        <v>32</v>
      </c>
      <c r="C7" s="157">
        <f>20*0/100</f>
        <v>0</v>
      </c>
      <c r="D7" s="157">
        <f>20*100/100</f>
        <v>20</v>
      </c>
      <c r="E7" s="157">
        <f>20*100/100</f>
        <v>20</v>
      </c>
      <c r="F7" s="146">
        <f>20*100/100</f>
        <v>20</v>
      </c>
      <c r="G7" s="1"/>
    </row>
    <row r="8" spans="2:7" ht="101.25" customHeight="1" x14ac:dyDescent="0.3">
      <c r="B8" s="163" t="s">
        <v>6</v>
      </c>
      <c r="C8" s="182" t="s">
        <v>295</v>
      </c>
      <c r="D8" s="157" t="s">
        <v>296</v>
      </c>
      <c r="E8" s="157" t="s">
        <v>296</v>
      </c>
      <c r="F8" s="181" t="s">
        <v>297</v>
      </c>
      <c r="G8" s="1"/>
    </row>
    <row r="9" spans="2:7" ht="18.75" x14ac:dyDescent="0.3">
      <c r="B9" s="150" t="s">
        <v>119</v>
      </c>
      <c r="C9" s="146">
        <f>25*C7/100</f>
        <v>0</v>
      </c>
      <c r="D9" s="146">
        <f>25*D7/100</f>
        <v>5</v>
      </c>
      <c r="E9" s="146">
        <f>25*E7/100</f>
        <v>5</v>
      </c>
      <c r="F9" s="146">
        <f>25*F7/100</f>
        <v>5</v>
      </c>
      <c r="G9" s="1"/>
    </row>
    <row r="10" spans="2:7" ht="94.5" x14ac:dyDescent="0.3">
      <c r="B10" s="151" t="s">
        <v>33</v>
      </c>
      <c r="C10" s="183">
        <f>20*86.1/100</f>
        <v>17.22</v>
      </c>
      <c r="D10" s="183">
        <f>20*100/100</f>
        <v>20</v>
      </c>
      <c r="E10" s="183">
        <f>20*100/100</f>
        <v>20</v>
      </c>
      <c r="F10" s="183">
        <f>20*100/100</f>
        <v>20</v>
      </c>
      <c r="G10" s="1"/>
    </row>
    <row r="11" spans="2:7" ht="45.75" x14ac:dyDescent="0.3">
      <c r="B11" s="150" t="s">
        <v>6</v>
      </c>
      <c r="C11" s="182" t="s">
        <v>299</v>
      </c>
      <c r="D11" s="166" t="s">
        <v>181</v>
      </c>
      <c r="E11" s="166" t="s">
        <v>181</v>
      </c>
      <c r="F11" s="181" t="s">
        <v>300</v>
      </c>
      <c r="G11" s="1"/>
    </row>
    <row r="12" spans="2:7" ht="18.75" x14ac:dyDescent="0.3">
      <c r="B12" s="150" t="s">
        <v>119</v>
      </c>
      <c r="C12" s="183">
        <f>25*C10/100</f>
        <v>4.3049999999999997</v>
      </c>
      <c r="D12" s="146">
        <f>25*D10/100</f>
        <v>5</v>
      </c>
      <c r="E12" s="146">
        <f>25*E10/100</f>
        <v>5</v>
      </c>
      <c r="F12" s="146">
        <f>25*F10/100</f>
        <v>5</v>
      </c>
      <c r="G12" s="1"/>
    </row>
    <row r="13" spans="2:7" ht="47.25" x14ac:dyDescent="0.3">
      <c r="B13" s="155" t="s">
        <v>260</v>
      </c>
      <c r="C13" s="154">
        <f>1*20</f>
        <v>20</v>
      </c>
      <c r="D13" s="154">
        <f t="shared" ref="D13:F13" si="0">1*20</f>
        <v>20</v>
      </c>
      <c r="E13" s="154">
        <f t="shared" si="0"/>
        <v>20</v>
      </c>
      <c r="F13" s="154">
        <f t="shared" si="0"/>
        <v>20</v>
      </c>
      <c r="G13" s="1"/>
    </row>
    <row r="14" spans="2:7" ht="18.75" x14ac:dyDescent="0.3">
      <c r="B14" s="150" t="s">
        <v>8</v>
      </c>
      <c r="C14" s="167" t="s">
        <v>298</v>
      </c>
      <c r="D14" s="167" t="s">
        <v>298</v>
      </c>
      <c r="E14" s="167" t="s">
        <v>298</v>
      </c>
      <c r="F14" s="167" t="s">
        <v>298</v>
      </c>
      <c r="G14" s="1"/>
    </row>
    <row r="15" spans="2:7" ht="18.75" x14ac:dyDescent="0.3">
      <c r="B15" s="150" t="s">
        <v>119</v>
      </c>
      <c r="C15" s="168">
        <f>25*C13/100</f>
        <v>5</v>
      </c>
      <c r="D15" s="168">
        <f>25*D13/100</f>
        <v>5</v>
      </c>
      <c r="E15" s="168">
        <f>25*E13/100</f>
        <v>5</v>
      </c>
      <c r="F15" s="168">
        <f t="shared" ref="F15" si="1">25*F13/100</f>
        <v>5</v>
      </c>
      <c r="G15" s="1"/>
    </row>
    <row r="16" spans="2:7" ht="31.5" x14ac:dyDescent="0.3">
      <c r="B16" s="155" t="s">
        <v>35</v>
      </c>
      <c r="C16" s="169">
        <f>1*20*98.6/100</f>
        <v>19.72</v>
      </c>
      <c r="D16" s="169">
        <f>1*20*87.1/100</f>
        <v>17.420000000000002</v>
      </c>
      <c r="E16" s="169">
        <f>1*20*100/100</f>
        <v>20</v>
      </c>
      <c r="F16" s="169">
        <f>1*20*100/100</f>
        <v>20</v>
      </c>
      <c r="G16" s="1"/>
    </row>
    <row r="17" spans="2:7" ht="18.75" x14ac:dyDescent="0.3">
      <c r="B17" s="150" t="s">
        <v>6</v>
      </c>
      <c r="C17" s="181" t="s">
        <v>301</v>
      </c>
      <c r="D17" s="181" t="s">
        <v>302</v>
      </c>
      <c r="E17" s="181" t="s">
        <v>303</v>
      </c>
      <c r="F17" s="181" t="s">
        <v>304</v>
      </c>
      <c r="G17" s="1"/>
    </row>
    <row r="18" spans="2:7" ht="18.75" x14ac:dyDescent="0.3">
      <c r="B18" s="150" t="s">
        <v>119</v>
      </c>
      <c r="C18" s="162">
        <f>25*C16/100</f>
        <v>4.93</v>
      </c>
      <c r="D18" s="162">
        <f t="shared" ref="D18:E18" si="2">25*D16/100</f>
        <v>4.3550000000000004</v>
      </c>
      <c r="E18" s="162">
        <f t="shared" si="2"/>
        <v>5</v>
      </c>
      <c r="F18" s="162">
        <f>25*F16/100</f>
        <v>5</v>
      </c>
      <c r="G18" s="1"/>
    </row>
    <row r="19" spans="2:7" ht="18.75" x14ac:dyDescent="0.3">
      <c r="B19" s="233" t="s">
        <v>121</v>
      </c>
      <c r="C19" s="234"/>
      <c r="D19" s="234"/>
      <c r="E19" s="234"/>
      <c r="F19" s="235"/>
      <c r="G19" s="1"/>
    </row>
    <row r="20" spans="2:7" s="144" customFormat="1" ht="48" x14ac:dyDescent="0.3">
      <c r="B20" s="155" t="s">
        <v>36</v>
      </c>
      <c r="C20" s="152" t="s">
        <v>313</v>
      </c>
      <c r="D20" s="157" t="s">
        <v>315</v>
      </c>
      <c r="E20" s="157" t="s">
        <v>317</v>
      </c>
      <c r="F20" s="149" t="s">
        <v>319</v>
      </c>
      <c r="G20" s="147"/>
    </row>
    <row r="21" spans="2:7" s="144" customFormat="1" ht="60.75" x14ac:dyDescent="0.3">
      <c r="B21" s="150" t="s">
        <v>9</v>
      </c>
      <c r="C21" s="184" t="s">
        <v>312</v>
      </c>
      <c r="D21" s="185" t="s">
        <v>314</v>
      </c>
      <c r="E21" s="185" t="s">
        <v>316</v>
      </c>
      <c r="F21" s="185" t="s">
        <v>318</v>
      </c>
      <c r="G21" s="147"/>
    </row>
    <row r="22" spans="2:7" s="144" customFormat="1" ht="18.75" x14ac:dyDescent="0.3">
      <c r="B22" s="150" t="s">
        <v>119</v>
      </c>
      <c r="C22" s="146">
        <f>25*0/100</f>
        <v>0</v>
      </c>
      <c r="D22" s="146">
        <f>25*20/100</f>
        <v>5</v>
      </c>
      <c r="E22" s="146">
        <f>25*20/100</f>
        <v>5</v>
      </c>
      <c r="F22" s="146">
        <f>25*14.6/100</f>
        <v>3.65</v>
      </c>
      <c r="G22" s="147"/>
    </row>
    <row r="23" spans="2:7" ht="63" x14ac:dyDescent="0.3">
      <c r="B23" s="170" t="s">
        <v>37</v>
      </c>
      <c r="C23" s="157">
        <f>10*100/100</f>
        <v>10</v>
      </c>
      <c r="D23" s="157">
        <f>10*100/100</f>
        <v>10</v>
      </c>
      <c r="E23" s="157">
        <f t="shared" ref="E23" si="3">10*100/100</f>
        <v>10</v>
      </c>
      <c r="F23" s="157">
        <f>10*100/100</f>
        <v>10</v>
      </c>
      <c r="G23" s="1"/>
    </row>
    <row r="24" spans="2:7" ht="48" x14ac:dyDescent="0.3">
      <c r="B24" s="163" t="s">
        <v>6</v>
      </c>
      <c r="C24" s="157" t="s">
        <v>308</v>
      </c>
      <c r="D24" s="157" t="s">
        <v>15</v>
      </c>
      <c r="E24" s="157" t="s">
        <v>15</v>
      </c>
      <c r="F24" s="157" t="s">
        <v>309</v>
      </c>
      <c r="G24" s="1"/>
    </row>
    <row r="25" spans="2:7" ht="18.75" x14ac:dyDescent="0.3">
      <c r="B25" s="150" t="s">
        <v>119</v>
      </c>
      <c r="C25" s="162">
        <f>C23*25/100</f>
        <v>2.5</v>
      </c>
      <c r="D25" s="146">
        <f>10*25/100</f>
        <v>2.5</v>
      </c>
      <c r="E25" s="146">
        <f t="shared" ref="E25" si="4">10*25/100</f>
        <v>2.5</v>
      </c>
      <c r="F25" s="162">
        <f>F23*25/100</f>
        <v>2.5</v>
      </c>
      <c r="G25" s="1"/>
    </row>
    <row r="26" spans="2:7" ht="78.75" x14ac:dyDescent="0.3">
      <c r="B26" s="170" t="s">
        <v>38</v>
      </c>
      <c r="C26" s="157">
        <f t="shared" ref="C26:D26" si="5">10*100/100</f>
        <v>10</v>
      </c>
      <c r="D26" s="157">
        <f t="shared" si="5"/>
        <v>10</v>
      </c>
      <c r="E26" s="157">
        <f>10*100/100</f>
        <v>10</v>
      </c>
      <c r="F26" s="146">
        <f>10*100/100</f>
        <v>10</v>
      </c>
      <c r="G26" s="1"/>
    </row>
    <row r="27" spans="2:7" ht="32.25" x14ac:dyDescent="0.3">
      <c r="B27" s="150" t="s">
        <v>6</v>
      </c>
      <c r="C27" s="157" t="s">
        <v>310</v>
      </c>
      <c r="D27" s="157" t="s">
        <v>16</v>
      </c>
      <c r="E27" s="157" t="s">
        <v>16</v>
      </c>
      <c r="F27" s="157" t="s">
        <v>311</v>
      </c>
      <c r="G27" s="1"/>
    </row>
    <row r="28" spans="2:7" ht="18.75" x14ac:dyDescent="0.3">
      <c r="B28" s="150" t="s">
        <v>119</v>
      </c>
      <c r="C28" s="162">
        <f t="shared" ref="C28:E28" si="6">C26*25/100</f>
        <v>2.5</v>
      </c>
      <c r="D28" s="162">
        <f t="shared" si="6"/>
        <v>2.5</v>
      </c>
      <c r="E28" s="162">
        <f t="shared" si="6"/>
        <v>2.5</v>
      </c>
      <c r="F28" s="162">
        <f>F26*25/100</f>
        <v>2.5</v>
      </c>
      <c r="G28" s="1"/>
    </row>
    <row r="29" spans="2:7" ht="18.75" x14ac:dyDescent="0.3">
      <c r="B29" s="171" t="s">
        <v>39</v>
      </c>
      <c r="C29" s="146" t="s">
        <v>67</v>
      </c>
      <c r="D29" s="146" t="s">
        <v>67</v>
      </c>
      <c r="E29" s="146" t="s">
        <v>67</v>
      </c>
      <c r="F29" s="146" t="s">
        <v>67</v>
      </c>
      <c r="G29" s="1"/>
    </row>
    <row r="30" spans="2:7" ht="32.25" x14ac:dyDescent="0.3">
      <c r="B30" s="150" t="s">
        <v>6</v>
      </c>
      <c r="C30" s="172" t="s">
        <v>21</v>
      </c>
      <c r="D30" s="172" t="s">
        <v>21</v>
      </c>
      <c r="E30" s="172" t="s">
        <v>21</v>
      </c>
      <c r="F30" s="172" t="s">
        <v>21</v>
      </c>
      <c r="G30" s="1"/>
    </row>
    <row r="31" spans="2:7" ht="18.75" x14ac:dyDescent="0.3">
      <c r="B31" s="150" t="s">
        <v>119</v>
      </c>
      <c r="C31" s="169">
        <f>0*25/100</f>
        <v>0</v>
      </c>
      <c r="D31" s="169">
        <f t="shared" ref="D31:F31" si="7">0*25/100</f>
        <v>0</v>
      </c>
      <c r="E31" s="169">
        <f t="shared" si="7"/>
        <v>0</v>
      </c>
      <c r="F31" s="169">
        <f t="shared" si="7"/>
        <v>0</v>
      </c>
      <c r="G31" s="1"/>
    </row>
    <row r="32" spans="2:7" ht="78.75" x14ac:dyDescent="0.3">
      <c r="B32" s="151" t="s">
        <v>40</v>
      </c>
      <c r="C32" s="169">
        <v>20</v>
      </c>
      <c r="D32" s="169">
        <f t="shared" ref="D32:F32" si="8">1*20</f>
        <v>20</v>
      </c>
      <c r="E32" s="169">
        <f t="shared" si="8"/>
        <v>20</v>
      </c>
      <c r="F32" s="169">
        <f t="shared" si="8"/>
        <v>20</v>
      </c>
      <c r="G32" s="1"/>
    </row>
    <row r="33" spans="2:7" ht="48" x14ac:dyDescent="0.3">
      <c r="B33" s="150" t="s">
        <v>6</v>
      </c>
      <c r="C33" s="172" t="s">
        <v>270</v>
      </c>
      <c r="D33" s="172" t="s">
        <v>84</v>
      </c>
      <c r="E33" s="172" t="s">
        <v>84</v>
      </c>
      <c r="F33" s="172" t="s">
        <v>84</v>
      </c>
      <c r="G33" s="1"/>
    </row>
    <row r="34" spans="2:7" ht="18.75" x14ac:dyDescent="0.3">
      <c r="B34" s="150" t="s">
        <v>119</v>
      </c>
      <c r="C34" s="169">
        <f>25*C32/100</f>
        <v>5</v>
      </c>
      <c r="D34" s="169">
        <f t="shared" ref="D34:F34" si="9">25*D32/100</f>
        <v>5</v>
      </c>
      <c r="E34" s="169">
        <f t="shared" si="9"/>
        <v>5</v>
      </c>
      <c r="F34" s="169">
        <f t="shared" si="9"/>
        <v>5</v>
      </c>
      <c r="G34" s="1"/>
    </row>
    <row r="35" spans="2:7" ht="78.75" x14ac:dyDescent="0.3">
      <c r="B35" s="155" t="s">
        <v>41</v>
      </c>
      <c r="C35" s="146">
        <f>1*20</f>
        <v>20</v>
      </c>
      <c r="D35" s="146">
        <f t="shared" ref="D35:F35" si="10">1*20</f>
        <v>20</v>
      </c>
      <c r="E35" s="146">
        <f>1*20</f>
        <v>20</v>
      </c>
      <c r="F35" s="146">
        <f t="shared" si="10"/>
        <v>20</v>
      </c>
      <c r="G35" s="1"/>
    </row>
    <row r="36" spans="2:7" ht="48" x14ac:dyDescent="0.3">
      <c r="B36" s="163" t="s">
        <v>6</v>
      </c>
      <c r="C36" s="172" t="s">
        <v>69</v>
      </c>
      <c r="D36" s="172" t="s">
        <v>69</v>
      </c>
      <c r="E36" s="172" t="s">
        <v>69</v>
      </c>
      <c r="F36" s="172" t="s">
        <v>69</v>
      </c>
      <c r="G36" s="1"/>
    </row>
    <row r="37" spans="2:7" ht="18.75" x14ac:dyDescent="0.3">
      <c r="B37" s="150" t="s">
        <v>119</v>
      </c>
      <c r="C37" s="146">
        <f>25*C35/100</f>
        <v>5</v>
      </c>
      <c r="D37" s="146">
        <f t="shared" ref="D37:F37" si="11">25*D35/100</f>
        <v>5</v>
      </c>
      <c r="E37" s="146">
        <f t="shared" si="11"/>
        <v>5</v>
      </c>
      <c r="F37" s="146">
        <f t="shared" si="11"/>
        <v>5</v>
      </c>
      <c r="G37" s="1"/>
    </row>
    <row r="38" spans="2:7" ht="18.75" x14ac:dyDescent="0.3">
      <c r="B38" s="231" t="s">
        <v>122</v>
      </c>
      <c r="C38" s="231"/>
      <c r="D38" s="231"/>
      <c r="E38" s="231"/>
      <c r="F38" s="231"/>
      <c r="G38" s="1"/>
    </row>
    <row r="39" spans="2:7" ht="78.75" x14ac:dyDescent="0.3">
      <c r="B39" s="151" t="s">
        <v>42</v>
      </c>
      <c r="C39" s="174">
        <f t="shared" ref="C39:F39" si="12">1*35</f>
        <v>35</v>
      </c>
      <c r="D39" s="174">
        <f t="shared" si="12"/>
        <v>35</v>
      </c>
      <c r="E39" s="174">
        <f t="shared" si="12"/>
        <v>35</v>
      </c>
      <c r="F39" s="174">
        <f t="shared" si="12"/>
        <v>35</v>
      </c>
      <c r="G39" s="1"/>
    </row>
    <row r="40" spans="2:7" ht="81" customHeight="1" x14ac:dyDescent="0.3">
      <c r="B40" s="150" t="s">
        <v>6</v>
      </c>
      <c r="C40" s="175" t="s">
        <v>70</v>
      </c>
      <c r="D40" s="175" t="s">
        <v>70</v>
      </c>
      <c r="E40" s="175" t="s">
        <v>70</v>
      </c>
      <c r="F40" s="175" t="s">
        <v>70</v>
      </c>
      <c r="G40" s="1"/>
    </row>
    <row r="41" spans="2:7" ht="18.75" x14ac:dyDescent="0.3">
      <c r="B41" s="150" t="s">
        <v>119</v>
      </c>
      <c r="C41" s="174">
        <f>16*C39/100</f>
        <v>5.6</v>
      </c>
      <c r="D41" s="174">
        <f t="shared" ref="D41:F41" si="13">16*D39/100</f>
        <v>5.6</v>
      </c>
      <c r="E41" s="174">
        <f t="shared" si="13"/>
        <v>5.6</v>
      </c>
      <c r="F41" s="174">
        <f t="shared" si="13"/>
        <v>5.6</v>
      </c>
      <c r="G41" s="1"/>
    </row>
    <row r="42" spans="2:7" ht="78.75" x14ac:dyDescent="0.3">
      <c r="B42" s="158" t="s">
        <v>43</v>
      </c>
      <c r="C42" s="176">
        <f>1*35</f>
        <v>35</v>
      </c>
      <c r="D42" s="176">
        <f t="shared" ref="D42:F42" si="14">1*35</f>
        <v>35</v>
      </c>
      <c r="E42" s="176">
        <f t="shared" si="14"/>
        <v>35</v>
      </c>
      <c r="F42" s="176">
        <f t="shared" si="14"/>
        <v>35</v>
      </c>
      <c r="G42" s="1"/>
    </row>
    <row r="43" spans="2:7" ht="48" x14ac:dyDescent="0.3">
      <c r="B43" s="150" t="s">
        <v>6</v>
      </c>
      <c r="C43" s="157" t="s">
        <v>71</v>
      </c>
      <c r="D43" s="157" t="s">
        <v>71</v>
      </c>
      <c r="E43" s="157" t="s">
        <v>71</v>
      </c>
      <c r="F43" s="157" t="s">
        <v>71</v>
      </c>
      <c r="G43" s="1"/>
    </row>
    <row r="44" spans="2:7" ht="18.75" x14ac:dyDescent="0.3">
      <c r="B44" s="150" t="s">
        <v>119</v>
      </c>
      <c r="C44" s="154">
        <f>16*C42/100</f>
        <v>5.6</v>
      </c>
      <c r="D44" s="154">
        <f t="shared" ref="D44:F44" si="15">16*D42/100</f>
        <v>5.6</v>
      </c>
      <c r="E44" s="154">
        <f t="shared" si="15"/>
        <v>5.6</v>
      </c>
      <c r="F44" s="154">
        <f t="shared" si="15"/>
        <v>5.6</v>
      </c>
      <c r="G44" s="1"/>
    </row>
    <row r="45" spans="2:7" ht="78.75" x14ac:dyDescent="0.3">
      <c r="B45" s="155" t="s">
        <v>44</v>
      </c>
      <c r="C45" s="154">
        <f>0*15</f>
        <v>0</v>
      </c>
      <c r="D45" s="154">
        <f t="shared" ref="D45:F45" si="16">0*15</f>
        <v>0</v>
      </c>
      <c r="E45" s="154">
        <f t="shared" si="16"/>
        <v>0</v>
      </c>
      <c r="F45" s="154">
        <f t="shared" si="16"/>
        <v>0</v>
      </c>
      <c r="G45" s="1"/>
    </row>
    <row r="46" spans="2:7" ht="95.25" x14ac:dyDescent="0.3">
      <c r="B46" s="150" t="s">
        <v>6</v>
      </c>
      <c r="C46" s="177" t="s">
        <v>72</v>
      </c>
      <c r="D46" s="157" t="s">
        <v>72</v>
      </c>
      <c r="E46" s="177" t="s">
        <v>72</v>
      </c>
      <c r="F46" s="159" t="s">
        <v>72</v>
      </c>
      <c r="G46" s="1"/>
    </row>
    <row r="47" spans="2:7" ht="18.75" x14ac:dyDescent="0.3">
      <c r="B47" s="150" t="s">
        <v>119</v>
      </c>
      <c r="C47" s="146">
        <f>16*C45/100</f>
        <v>0</v>
      </c>
      <c r="D47" s="146">
        <f t="shared" ref="D47:F47" si="17">16*D45/100</f>
        <v>0</v>
      </c>
      <c r="E47" s="146">
        <f t="shared" si="17"/>
        <v>0</v>
      </c>
      <c r="F47" s="146">
        <f t="shared" si="17"/>
        <v>0</v>
      </c>
      <c r="G47" s="1"/>
    </row>
    <row r="48" spans="2:7" ht="110.25" x14ac:dyDescent="0.3">
      <c r="B48" s="151" t="s">
        <v>45</v>
      </c>
      <c r="C48" s="146">
        <f>1*15</f>
        <v>15</v>
      </c>
      <c r="D48" s="146">
        <f t="shared" ref="D48:F48" si="18">1*15</f>
        <v>15</v>
      </c>
      <c r="E48" s="146">
        <f t="shared" si="18"/>
        <v>15</v>
      </c>
      <c r="F48" s="146">
        <f t="shared" si="18"/>
        <v>15</v>
      </c>
      <c r="G48" s="1"/>
    </row>
    <row r="49" spans="1:7" ht="32.25" x14ac:dyDescent="0.3">
      <c r="B49" s="150" t="s">
        <v>6</v>
      </c>
      <c r="C49" s="157" t="s">
        <v>271</v>
      </c>
      <c r="D49" s="157" t="s">
        <v>73</v>
      </c>
      <c r="E49" s="157" t="s">
        <v>73</v>
      </c>
      <c r="F49" s="157" t="s">
        <v>73</v>
      </c>
      <c r="G49" s="1"/>
    </row>
    <row r="50" spans="1:7" ht="18.75" x14ac:dyDescent="0.3">
      <c r="B50" s="150" t="s">
        <v>119</v>
      </c>
      <c r="C50" s="146">
        <f>16*C48/100</f>
        <v>2.4</v>
      </c>
      <c r="D50" s="146">
        <f t="shared" ref="D50:F50" si="19">16*D48/100</f>
        <v>2.4</v>
      </c>
      <c r="E50" s="146">
        <f t="shared" si="19"/>
        <v>2.4</v>
      </c>
      <c r="F50" s="146">
        <f t="shared" si="19"/>
        <v>2.4</v>
      </c>
      <c r="G50" s="1"/>
    </row>
    <row r="51" spans="1:7" ht="19.5" thickBot="1" x14ac:dyDescent="0.35">
      <c r="B51" s="236" t="s">
        <v>123</v>
      </c>
      <c r="C51" s="234"/>
      <c r="D51" s="234"/>
      <c r="E51" s="234"/>
      <c r="F51" s="235"/>
      <c r="G51" s="1"/>
    </row>
    <row r="52" spans="1:7" s="144" customFormat="1" ht="31.5" x14ac:dyDescent="0.3">
      <c r="B52" s="145" t="s">
        <v>46</v>
      </c>
      <c r="C52" s="146">
        <f>1*10</f>
        <v>10</v>
      </c>
      <c r="D52" s="146">
        <f t="shared" ref="D52:E52" si="20">1*10</f>
        <v>10</v>
      </c>
      <c r="E52" s="146">
        <f t="shared" si="20"/>
        <v>10</v>
      </c>
      <c r="F52" s="146">
        <f>1*10</f>
        <v>10</v>
      </c>
      <c r="G52" s="147"/>
    </row>
    <row r="53" spans="1:7" s="144" customFormat="1" ht="78.75" x14ac:dyDescent="0.3">
      <c r="B53" s="148" t="s">
        <v>173</v>
      </c>
      <c r="C53" s="149" t="s">
        <v>305</v>
      </c>
      <c r="D53" s="149" t="s">
        <v>231</v>
      </c>
      <c r="E53" s="149" t="s">
        <v>306</v>
      </c>
      <c r="F53" s="149" t="s">
        <v>168</v>
      </c>
      <c r="G53" s="147"/>
    </row>
    <row r="54" spans="1:7" s="144" customFormat="1" ht="18.75" x14ac:dyDescent="0.3">
      <c r="B54" s="150" t="s">
        <v>119</v>
      </c>
      <c r="C54" s="146">
        <f>16*C52/100</f>
        <v>1.6</v>
      </c>
      <c r="D54" s="146">
        <f t="shared" ref="D54:F54" si="21">16*D52/100</f>
        <v>1.6</v>
      </c>
      <c r="E54" s="146">
        <f t="shared" si="21"/>
        <v>1.6</v>
      </c>
      <c r="F54" s="146">
        <f t="shared" si="21"/>
        <v>1.6</v>
      </c>
      <c r="G54" s="147"/>
    </row>
    <row r="55" spans="1:7" s="144" customFormat="1" ht="63" x14ac:dyDescent="0.3">
      <c r="A55" s="144" t="s">
        <v>22</v>
      </c>
      <c r="B55" s="151" t="s">
        <v>47</v>
      </c>
      <c r="C55" s="146">
        <v>0</v>
      </c>
      <c r="D55" s="146">
        <f t="shared" ref="D55:E55" si="22">1*60</f>
        <v>60</v>
      </c>
      <c r="E55" s="146">
        <f t="shared" si="22"/>
        <v>60</v>
      </c>
      <c r="F55" s="146">
        <v>0</v>
      </c>
      <c r="G55" s="147"/>
    </row>
    <row r="56" spans="1:7" s="144" customFormat="1" ht="63" x14ac:dyDescent="0.3">
      <c r="B56" s="150" t="s">
        <v>6</v>
      </c>
      <c r="C56" s="152" t="s">
        <v>74</v>
      </c>
      <c r="D56" s="153" t="s">
        <v>235</v>
      </c>
      <c r="E56" s="153" t="s">
        <v>235</v>
      </c>
      <c r="F56" s="152" t="s">
        <v>74</v>
      </c>
      <c r="G56" s="147"/>
    </row>
    <row r="57" spans="1:7" s="144" customFormat="1" ht="18.75" x14ac:dyDescent="0.3">
      <c r="B57" s="150" t="s">
        <v>119</v>
      </c>
      <c r="C57" s="154">
        <f>16*C55/100</f>
        <v>0</v>
      </c>
      <c r="D57" s="154">
        <f t="shared" ref="D57:F57" si="23">16*D55/100</f>
        <v>9.6</v>
      </c>
      <c r="E57" s="154">
        <f t="shared" si="23"/>
        <v>9.6</v>
      </c>
      <c r="F57" s="154">
        <f t="shared" si="23"/>
        <v>0</v>
      </c>
      <c r="G57" s="147"/>
    </row>
    <row r="58" spans="1:7" s="144" customFormat="1" ht="31.5" x14ac:dyDescent="0.3">
      <c r="B58" s="155" t="s">
        <v>48</v>
      </c>
      <c r="C58" s="154">
        <f>1*15</f>
        <v>15</v>
      </c>
      <c r="D58" s="154">
        <f t="shared" ref="D58:F58" si="24">1*15</f>
        <v>15</v>
      </c>
      <c r="E58" s="154">
        <f t="shared" si="24"/>
        <v>15</v>
      </c>
      <c r="F58" s="154">
        <f t="shared" si="24"/>
        <v>15</v>
      </c>
      <c r="G58" s="147"/>
    </row>
    <row r="59" spans="1:7" s="144" customFormat="1" ht="103.5" customHeight="1" x14ac:dyDescent="0.3">
      <c r="B59" s="156" t="s">
        <v>233</v>
      </c>
      <c r="C59" s="152" t="s">
        <v>75</v>
      </c>
      <c r="D59" s="157" t="s">
        <v>75</v>
      </c>
      <c r="E59" s="152" t="s">
        <v>75</v>
      </c>
      <c r="F59" s="152" t="s">
        <v>75</v>
      </c>
      <c r="G59" s="147"/>
    </row>
    <row r="60" spans="1:7" s="144" customFormat="1" ht="18.75" x14ac:dyDescent="0.3">
      <c r="B60" s="150" t="s">
        <v>119</v>
      </c>
      <c r="C60" s="154">
        <f>16*C58/100</f>
        <v>2.4</v>
      </c>
      <c r="D60" s="154">
        <f t="shared" ref="D60:F60" si="25">16*D58/100</f>
        <v>2.4</v>
      </c>
      <c r="E60" s="154">
        <f t="shared" si="25"/>
        <v>2.4</v>
      </c>
      <c r="F60" s="154">
        <f t="shared" si="25"/>
        <v>2.4</v>
      </c>
      <c r="G60" s="147"/>
    </row>
    <row r="61" spans="1:7" s="144" customFormat="1" ht="48" x14ac:dyDescent="0.3">
      <c r="B61" s="159" t="s">
        <v>49</v>
      </c>
      <c r="C61" s="154">
        <f>1*15</f>
        <v>15</v>
      </c>
      <c r="D61" s="154">
        <f t="shared" ref="D61:F61" si="26">1*15</f>
        <v>15</v>
      </c>
      <c r="E61" s="154">
        <f t="shared" si="26"/>
        <v>15</v>
      </c>
      <c r="F61" s="154">
        <f t="shared" si="26"/>
        <v>15</v>
      </c>
      <c r="G61" s="147"/>
    </row>
    <row r="62" spans="1:7" s="144" customFormat="1" ht="95.25" x14ac:dyDescent="0.3">
      <c r="B62" s="156" t="s">
        <v>234</v>
      </c>
      <c r="C62" s="146" t="s">
        <v>76</v>
      </c>
      <c r="D62" s="146" t="s">
        <v>76</v>
      </c>
      <c r="E62" s="146" t="s">
        <v>76</v>
      </c>
      <c r="F62" s="146" t="s">
        <v>76</v>
      </c>
      <c r="G62" s="147"/>
    </row>
    <row r="63" spans="1:7" s="144" customFormat="1" ht="18.75" x14ac:dyDescent="0.3">
      <c r="B63" s="150" t="s">
        <v>119</v>
      </c>
      <c r="C63" s="146">
        <f>16*C61/100</f>
        <v>2.4</v>
      </c>
      <c r="D63" s="146">
        <f t="shared" ref="D63:F63" si="27">16*D61/100</f>
        <v>2.4</v>
      </c>
      <c r="E63" s="146">
        <f t="shared" si="27"/>
        <v>2.4</v>
      </c>
      <c r="F63" s="146">
        <f t="shared" si="27"/>
        <v>2.4</v>
      </c>
      <c r="G63" s="147"/>
    </row>
    <row r="64" spans="1:7" ht="18.75" x14ac:dyDescent="0.3">
      <c r="B64" s="231" t="s">
        <v>124</v>
      </c>
      <c r="C64" s="231"/>
      <c r="D64" s="231"/>
      <c r="E64" s="231"/>
      <c r="F64" s="231"/>
      <c r="G64" s="1"/>
    </row>
    <row r="65" spans="2:7" ht="47.25" x14ac:dyDescent="0.3">
      <c r="B65" s="155" t="s">
        <v>50</v>
      </c>
      <c r="C65" s="146">
        <f>1*50</f>
        <v>50</v>
      </c>
      <c r="D65" s="146">
        <f t="shared" ref="D65:F65" si="28">1*50</f>
        <v>50</v>
      </c>
      <c r="E65" s="146">
        <f t="shared" si="28"/>
        <v>50</v>
      </c>
      <c r="F65" s="146">
        <f t="shared" si="28"/>
        <v>50</v>
      </c>
      <c r="G65" s="1"/>
    </row>
    <row r="66" spans="2:7" ht="48" x14ac:dyDescent="0.3">
      <c r="B66" s="150" t="s">
        <v>6</v>
      </c>
      <c r="C66" s="157" t="s">
        <v>77</v>
      </c>
      <c r="D66" s="149" t="s">
        <v>90</v>
      </c>
      <c r="E66" s="149" t="s">
        <v>90</v>
      </c>
      <c r="F66" s="149" t="s">
        <v>100</v>
      </c>
      <c r="G66" s="1"/>
    </row>
    <row r="67" spans="2:7" ht="18.75" x14ac:dyDescent="0.3">
      <c r="B67" s="150" t="s">
        <v>119</v>
      </c>
      <c r="C67" s="146">
        <f>10*C65/100</f>
        <v>5</v>
      </c>
      <c r="D67" s="146">
        <f t="shared" ref="D67:F67" si="29">10*D65/100</f>
        <v>5</v>
      </c>
      <c r="E67" s="146">
        <f t="shared" si="29"/>
        <v>5</v>
      </c>
      <c r="F67" s="146">
        <f t="shared" si="29"/>
        <v>5</v>
      </c>
      <c r="G67" s="1"/>
    </row>
    <row r="68" spans="2:7" ht="47.25" x14ac:dyDescent="0.3">
      <c r="B68" s="151" t="s">
        <v>51</v>
      </c>
      <c r="C68" s="178">
        <f>1*50</f>
        <v>50</v>
      </c>
      <c r="D68" s="178">
        <f t="shared" ref="D68:F68" si="30">1*50</f>
        <v>50</v>
      </c>
      <c r="E68" s="178">
        <f t="shared" si="30"/>
        <v>50</v>
      </c>
      <c r="F68" s="178">
        <f t="shared" si="30"/>
        <v>50</v>
      </c>
      <c r="G68" s="1"/>
    </row>
    <row r="69" spans="2:7" ht="63.75" x14ac:dyDescent="0.3">
      <c r="B69" s="150" t="s">
        <v>6</v>
      </c>
      <c r="C69" s="157" t="s">
        <v>79</v>
      </c>
      <c r="D69" s="157" t="s">
        <v>79</v>
      </c>
      <c r="E69" s="157" t="s">
        <v>79</v>
      </c>
      <c r="F69" s="157" t="s">
        <v>79</v>
      </c>
      <c r="G69" s="1"/>
    </row>
    <row r="70" spans="2:7" ht="18.75" x14ac:dyDescent="0.3">
      <c r="B70" s="150" t="s">
        <v>119</v>
      </c>
      <c r="C70" s="146">
        <f>10*C68/100</f>
        <v>5</v>
      </c>
      <c r="D70" s="146">
        <f t="shared" ref="D70:F70" si="31">10*D68/100</f>
        <v>5</v>
      </c>
      <c r="E70" s="146">
        <f t="shared" si="31"/>
        <v>5</v>
      </c>
      <c r="F70" s="146">
        <f t="shared" si="31"/>
        <v>5</v>
      </c>
      <c r="G70" s="1"/>
    </row>
    <row r="71" spans="2:7" ht="18.75" x14ac:dyDescent="0.3">
      <c r="B71" s="231" t="s">
        <v>125</v>
      </c>
      <c r="C71" s="231"/>
      <c r="D71" s="231"/>
      <c r="E71" s="231"/>
      <c r="F71" s="231"/>
      <c r="G71" s="1"/>
    </row>
    <row r="72" spans="2:7" ht="94.5" x14ac:dyDescent="0.3">
      <c r="B72" s="155" t="s">
        <v>52</v>
      </c>
      <c r="C72" s="146">
        <f>1*50</f>
        <v>50</v>
      </c>
      <c r="D72" s="146">
        <f t="shared" ref="D72:F72" si="32">1*50</f>
        <v>50</v>
      </c>
      <c r="E72" s="146">
        <f t="shared" si="32"/>
        <v>50</v>
      </c>
      <c r="F72" s="146">
        <f t="shared" si="32"/>
        <v>50</v>
      </c>
      <c r="G72" s="1"/>
    </row>
    <row r="73" spans="2:7" ht="54" customHeight="1" x14ac:dyDescent="0.3">
      <c r="B73" s="150" t="s">
        <v>6</v>
      </c>
      <c r="C73" s="179" t="s">
        <v>78</v>
      </c>
      <c r="D73" s="149" t="s">
        <v>78</v>
      </c>
      <c r="E73" s="179" t="s">
        <v>78</v>
      </c>
      <c r="F73" s="180" t="s">
        <v>78</v>
      </c>
      <c r="G73" s="1"/>
    </row>
    <row r="74" spans="2:7" ht="18.75" x14ac:dyDescent="0.3">
      <c r="B74" s="150" t="s">
        <v>119</v>
      </c>
      <c r="C74" s="146">
        <f>8*C72/100</f>
        <v>4</v>
      </c>
      <c r="D74" s="146">
        <f t="shared" ref="D74:F74" si="33">8*D72/100</f>
        <v>4</v>
      </c>
      <c r="E74" s="146">
        <f t="shared" si="33"/>
        <v>4</v>
      </c>
      <c r="F74" s="146">
        <f t="shared" si="33"/>
        <v>4</v>
      </c>
      <c r="G74" s="1"/>
    </row>
    <row r="75" spans="2:7" ht="126" x14ac:dyDescent="0.3">
      <c r="B75" s="155" t="s">
        <v>53</v>
      </c>
      <c r="C75" s="146">
        <f>1*50</f>
        <v>50</v>
      </c>
      <c r="D75" s="146">
        <f t="shared" ref="D75:E75" si="34">1*50</f>
        <v>50</v>
      </c>
      <c r="E75" s="146">
        <f t="shared" si="34"/>
        <v>50</v>
      </c>
      <c r="F75" s="146">
        <f>1*50</f>
        <v>50</v>
      </c>
      <c r="G75" s="1"/>
    </row>
    <row r="76" spans="2:7" ht="47.25" x14ac:dyDescent="0.3">
      <c r="B76" s="150" t="s">
        <v>6</v>
      </c>
      <c r="C76" s="179" t="s">
        <v>78</v>
      </c>
      <c r="D76" s="149" t="s">
        <v>78</v>
      </c>
      <c r="E76" s="179" t="s">
        <v>78</v>
      </c>
      <c r="F76" s="149" t="s">
        <v>101</v>
      </c>
      <c r="G76" s="1"/>
    </row>
    <row r="77" spans="2:7" ht="18.75" x14ac:dyDescent="0.3">
      <c r="B77" s="150" t="s">
        <v>119</v>
      </c>
      <c r="C77" s="146">
        <f>8*C75/100</f>
        <v>4</v>
      </c>
      <c r="D77" s="146">
        <f t="shared" ref="D77:F77" si="35">8*D75/100</f>
        <v>4</v>
      </c>
      <c r="E77" s="146">
        <f t="shared" si="35"/>
        <v>4</v>
      </c>
      <c r="F77" s="146">
        <f t="shared" si="35"/>
        <v>4</v>
      </c>
      <c r="G77" s="1"/>
    </row>
    <row r="78" spans="2:7" ht="33.75" x14ac:dyDescent="0.3">
      <c r="B78" s="126" t="s">
        <v>58</v>
      </c>
      <c r="C78" s="127">
        <f>C6+C9+C12+C15+C18+C22+C25+C28+C31+C34+C37+C41+C44+C47+C50+C54+C57+C60+C63+C67+C70+C74+C77</f>
        <v>71.430000000000007</v>
      </c>
      <c r="D78" s="127">
        <f t="shared" ref="D78:F78" si="36">D6+D9+D12+D15+D18+D22+D25+D28+D31+D34+D37+D41+D44+D47+D50+D54+D57+D60+D63+D67+D70+D74+D77</f>
        <v>86.955000000000013</v>
      </c>
      <c r="E78" s="127">
        <f t="shared" si="36"/>
        <v>92.420000000000016</v>
      </c>
      <c r="F78" s="127">
        <f t="shared" si="36"/>
        <v>81.634999999999991</v>
      </c>
      <c r="G78" s="1"/>
    </row>
    <row r="79" spans="2:7" ht="18.75" x14ac:dyDescent="0.3">
      <c r="B79" s="129" t="s">
        <v>55</v>
      </c>
      <c r="C79" s="130" t="s">
        <v>200</v>
      </c>
      <c r="D79" s="130" t="s">
        <v>240</v>
      </c>
      <c r="E79" s="130" t="s">
        <v>189</v>
      </c>
      <c r="F79" s="130" t="s">
        <v>241</v>
      </c>
      <c r="G79" s="1"/>
    </row>
    <row r="80" spans="2:7" ht="33.75" x14ac:dyDescent="0.3">
      <c r="B80" s="126" t="s">
        <v>54</v>
      </c>
      <c r="C80" s="224">
        <f>(C78+D78+E78++F78)/4</f>
        <v>83.110000000000014</v>
      </c>
      <c r="D80" s="225"/>
      <c r="E80" s="225"/>
      <c r="F80" s="226"/>
      <c r="G80" s="1"/>
    </row>
    <row r="81" spans="2:7" ht="93.75" x14ac:dyDescent="0.3">
      <c r="B81" s="131" t="s">
        <v>57</v>
      </c>
      <c r="C81" s="132">
        <f>100-C78</f>
        <v>28.569999999999993</v>
      </c>
      <c r="D81" s="132">
        <f t="shared" ref="D81:F81" si="37">100-D78</f>
        <v>13.044999999999987</v>
      </c>
      <c r="E81" s="132">
        <f t="shared" si="37"/>
        <v>7.5799999999999841</v>
      </c>
      <c r="F81" s="132">
        <f t="shared" si="37"/>
        <v>18.365000000000009</v>
      </c>
      <c r="G81" s="1"/>
    </row>
    <row r="82" spans="2:7" ht="63" x14ac:dyDescent="0.25">
      <c r="B82" s="126" t="s">
        <v>61</v>
      </c>
      <c r="C82" s="133" t="s">
        <v>115</v>
      </c>
      <c r="D82" s="133" t="s">
        <v>115</v>
      </c>
      <c r="E82" s="133" t="s">
        <v>320</v>
      </c>
      <c r="F82" s="133" t="s">
        <v>115</v>
      </c>
    </row>
    <row r="84" spans="2:7" ht="18.75" x14ac:dyDescent="0.3">
      <c r="B84" s="108"/>
      <c r="C84" s="108"/>
      <c r="D84" s="108"/>
      <c r="E84" s="108"/>
      <c r="F84" s="108"/>
    </row>
    <row r="85" spans="2:7" ht="18.75" x14ac:dyDescent="0.3">
      <c r="B85" s="108" t="s">
        <v>307</v>
      </c>
      <c r="C85" s="108"/>
      <c r="D85" s="108"/>
      <c r="E85" s="108"/>
      <c r="F85" s="108" t="s">
        <v>195</v>
      </c>
    </row>
    <row r="87" spans="2:7" ht="16.5" x14ac:dyDescent="0.25">
      <c r="B87" s="71" t="s">
        <v>285</v>
      </c>
    </row>
  </sheetData>
  <mergeCells count="8">
    <mergeCell ref="B71:F71"/>
    <mergeCell ref="C80:F80"/>
    <mergeCell ref="B1:F1"/>
    <mergeCell ref="B3:F3"/>
    <mergeCell ref="B19:F19"/>
    <mergeCell ref="B38:F38"/>
    <mergeCell ref="B51:F51"/>
    <mergeCell ref="B64:F64"/>
  </mergeCells>
  <pageMargins left="0.35433070866141736" right="0" top="0.59055118110236227" bottom="0.59055118110236227" header="0.51181102362204722" footer="0.51181102362204722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topLeftCell="A10" workbookViewId="0">
      <selection activeCell="B20" sqref="B20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214" t="s">
        <v>62</v>
      </c>
      <c r="C2" s="214"/>
      <c r="D2" s="214"/>
      <c r="E2" s="214"/>
      <c r="F2" s="214"/>
      <c r="G2" s="214"/>
      <c r="H2" s="1"/>
    </row>
    <row r="3" spans="2:8" ht="63.75" x14ac:dyDescent="0.3">
      <c r="B3" s="13" t="s">
        <v>0</v>
      </c>
      <c r="C3" s="7" t="s">
        <v>1</v>
      </c>
      <c r="D3" s="5" t="s">
        <v>2</v>
      </c>
      <c r="E3" s="7" t="s">
        <v>3</v>
      </c>
      <c r="F3" s="7" t="s">
        <v>4</v>
      </c>
      <c r="G3" s="7" t="s">
        <v>5</v>
      </c>
      <c r="H3" s="1"/>
    </row>
    <row r="4" spans="2:8" ht="30" x14ac:dyDescent="0.3">
      <c r="B4" s="14" t="s">
        <v>27</v>
      </c>
      <c r="C4" s="47">
        <v>0.5</v>
      </c>
      <c r="D4" s="48">
        <v>0.5</v>
      </c>
      <c r="E4" s="48">
        <v>0.5</v>
      </c>
      <c r="F4" s="48">
        <v>0.5</v>
      </c>
      <c r="G4" s="48">
        <v>0</v>
      </c>
      <c r="H4" s="1"/>
    </row>
    <row r="5" spans="2:8" ht="18.75" x14ac:dyDescent="0.3">
      <c r="B5" s="12" t="s">
        <v>6</v>
      </c>
      <c r="C5" s="46">
        <v>9</v>
      </c>
      <c r="D5" s="49">
        <v>3</v>
      </c>
      <c r="E5" s="50">
        <v>2</v>
      </c>
      <c r="F5" s="49">
        <v>4</v>
      </c>
      <c r="G5" s="49">
        <v>18</v>
      </c>
      <c r="H5" s="1"/>
    </row>
    <row r="6" spans="2:8" ht="18.75" x14ac:dyDescent="0.3">
      <c r="B6" s="12" t="s">
        <v>26</v>
      </c>
      <c r="C6" s="46">
        <v>12.5</v>
      </c>
      <c r="D6" s="49">
        <v>12.5</v>
      </c>
      <c r="E6" s="49">
        <v>12.5</v>
      </c>
      <c r="F6" s="49">
        <v>12.5</v>
      </c>
      <c r="G6" s="49">
        <v>0</v>
      </c>
      <c r="H6" s="1"/>
    </row>
    <row r="7" spans="2:8" ht="63" x14ac:dyDescent="0.3">
      <c r="B7" s="2" t="s">
        <v>30</v>
      </c>
      <c r="C7" s="51">
        <v>1</v>
      </c>
      <c r="D7" s="49">
        <v>1</v>
      </c>
      <c r="E7" s="49">
        <v>1</v>
      </c>
      <c r="F7" s="49">
        <v>1</v>
      </c>
      <c r="G7" s="49">
        <v>1</v>
      </c>
      <c r="H7" s="1"/>
    </row>
    <row r="8" spans="2:8" ht="18.75" x14ac:dyDescent="0.3">
      <c r="B8" s="12" t="s">
        <v>6</v>
      </c>
      <c r="C8" s="46" t="s">
        <v>63</v>
      </c>
      <c r="D8" s="15"/>
      <c r="E8" s="15"/>
      <c r="F8" s="15"/>
      <c r="G8" s="15"/>
      <c r="H8" s="1"/>
    </row>
    <row r="9" spans="2:8" ht="18.75" x14ac:dyDescent="0.3">
      <c r="B9" s="12" t="s">
        <v>26</v>
      </c>
      <c r="C9" s="46">
        <v>25</v>
      </c>
      <c r="D9" s="49">
        <v>25</v>
      </c>
      <c r="E9" s="49">
        <v>25</v>
      </c>
      <c r="F9" s="49">
        <v>25</v>
      </c>
      <c r="G9" s="49">
        <v>25</v>
      </c>
      <c r="H9" s="1"/>
    </row>
    <row r="10" spans="2:8" ht="63.75" x14ac:dyDescent="0.3">
      <c r="B10" s="7" t="s">
        <v>29</v>
      </c>
      <c r="C10" s="46">
        <v>1</v>
      </c>
      <c r="D10" s="49">
        <v>1</v>
      </c>
      <c r="E10" s="49">
        <v>1</v>
      </c>
      <c r="F10" s="49">
        <v>1</v>
      </c>
      <c r="G10" s="49">
        <v>1</v>
      </c>
      <c r="H10" s="1"/>
    </row>
    <row r="11" spans="2:8" ht="18.75" x14ac:dyDescent="0.3">
      <c r="B11" s="12" t="s">
        <v>6</v>
      </c>
      <c r="C11" s="46" t="s">
        <v>64</v>
      </c>
      <c r="D11" s="15"/>
      <c r="E11" s="15"/>
      <c r="F11" s="15"/>
      <c r="G11" s="15"/>
      <c r="H11" s="1"/>
    </row>
    <row r="12" spans="2:8" ht="18.75" x14ac:dyDescent="0.3">
      <c r="B12" s="12" t="s">
        <v>26</v>
      </c>
      <c r="C12" s="46">
        <v>20</v>
      </c>
      <c r="D12" s="49">
        <v>20</v>
      </c>
      <c r="E12" s="49">
        <v>20</v>
      </c>
      <c r="F12" s="49">
        <v>20</v>
      </c>
      <c r="G12" s="49">
        <v>20</v>
      </c>
      <c r="H12" s="1"/>
    </row>
    <row r="13" spans="2:8" ht="79.5" x14ac:dyDescent="0.3">
      <c r="B13" s="7" t="s">
        <v>28</v>
      </c>
      <c r="C13" s="52">
        <v>1</v>
      </c>
      <c r="D13" s="52">
        <v>1</v>
      </c>
      <c r="E13" s="52">
        <v>1</v>
      </c>
      <c r="F13" s="52">
        <v>1</v>
      </c>
      <c r="G13" s="52">
        <v>1</v>
      </c>
      <c r="H13" s="1"/>
    </row>
    <row r="14" spans="2:8" ht="51.75" x14ac:dyDescent="0.3">
      <c r="B14" s="12" t="s">
        <v>6</v>
      </c>
      <c r="C14" s="45" t="s">
        <v>59</v>
      </c>
      <c r="D14" s="43" t="s">
        <v>59</v>
      </c>
      <c r="E14" s="43" t="s">
        <v>59</v>
      </c>
      <c r="F14" s="43" t="s">
        <v>59</v>
      </c>
      <c r="G14" s="45" t="s">
        <v>59</v>
      </c>
      <c r="H14" s="1"/>
    </row>
    <row r="15" spans="2:8" ht="18.75" x14ac:dyDescent="0.3">
      <c r="B15" s="12" t="s">
        <v>26</v>
      </c>
      <c r="C15" s="48">
        <f>30*1</f>
        <v>30</v>
      </c>
      <c r="D15" s="48">
        <f t="shared" ref="D15:G15" si="0">30*1</f>
        <v>30</v>
      </c>
      <c r="E15" s="48">
        <f t="shared" si="0"/>
        <v>30</v>
      </c>
      <c r="F15" s="48">
        <f t="shared" si="0"/>
        <v>30</v>
      </c>
      <c r="G15" s="48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87.5</v>
      </c>
      <c r="D16" s="39">
        <f t="shared" ref="D16:G16" si="1">D6+D9+D12+D15</f>
        <v>87.5</v>
      </c>
      <c r="E16" s="39">
        <f t="shared" si="1"/>
        <v>87.5</v>
      </c>
      <c r="F16" s="39">
        <f t="shared" si="1"/>
        <v>87.5</v>
      </c>
      <c r="G16" s="39">
        <f t="shared" si="1"/>
        <v>75</v>
      </c>
      <c r="H16" s="1"/>
    </row>
    <row r="17" spans="2:8" ht="18.75" x14ac:dyDescent="0.3">
      <c r="B17" s="37" t="s">
        <v>55</v>
      </c>
      <c r="C17" s="40" t="s">
        <v>56</v>
      </c>
      <c r="D17" s="41" t="s">
        <v>56</v>
      </c>
      <c r="E17" s="41" t="s">
        <v>56</v>
      </c>
      <c r="F17" s="40" t="s">
        <v>56</v>
      </c>
      <c r="G17" s="41">
        <v>5</v>
      </c>
      <c r="H17" s="1"/>
    </row>
    <row r="18" spans="2:8" ht="33.75" x14ac:dyDescent="0.3">
      <c r="B18" s="53" t="s">
        <v>54</v>
      </c>
      <c r="C18" s="215">
        <f>(C16+D16+E16+F16+G16)/5</f>
        <v>85</v>
      </c>
      <c r="D18" s="216"/>
      <c r="E18" s="216"/>
      <c r="F18" s="216"/>
      <c r="G18" s="217"/>
      <c r="H18" s="1"/>
    </row>
    <row r="19" spans="2:8" ht="93.75" x14ac:dyDescent="0.3">
      <c r="B19" s="38" t="s">
        <v>57</v>
      </c>
      <c r="C19" s="48">
        <f>100-C16</f>
        <v>12.5</v>
      </c>
      <c r="D19" s="48">
        <f t="shared" ref="D19:G19" si="2">100-D16</f>
        <v>12.5</v>
      </c>
      <c r="E19" s="48">
        <f t="shared" si="2"/>
        <v>12.5</v>
      </c>
      <c r="F19" s="48">
        <f t="shared" si="2"/>
        <v>12.5</v>
      </c>
      <c r="G19" s="48">
        <f t="shared" si="2"/>
        <v>25</v>
      </c>
      <c r="H19" s="1"/>
    </row>
    <row r="20" spans="2:8" ht="56.25" customHeight="1" x14ac:dyDescent="0.3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44" t="s">
        <v>60</v>
      </c>
      <c r="H20" s="1"/>
    </row>
    <row r="21" spans="2:8" ht="18.75" x14ac:dyDescent="0.3">
      <c r="B21" s="1"/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view="pageBreakPreview" topLeftCell="A7" zoomScale="85" zoomScaleNormal="100" zoomScaleSheetLayoutView="85" workbookViewId="0">
      <selection activeCell="B7" sqref="B7:F9"/>
    </sheetView>
  </sheetViews>
  <sheetFormatPr defaultRowHeight="15" x14ac:dyDescent="0.25"/>
  <cols>
    <col min="1" max="1" width="1.5703125" customWidth="1"/>
    <col min="2" max="2" width="41.7109375" customWidth="1"/>
    <col min="3" max="3" width="26.5703125" customWidth="1"/>
    <col min="4" max="4" width="24.85546875" customWidth="1"/>
    <col min="5" max="5" width="25.28515625" customWidth="1"/>
    <col min="6" max="6" width="25.42578125" customWidth="1"/>
  </cols>
  <sheetData>
    <row r="1" spans="2:7" ht="18.75" x14ac:dyDescent="0.3">
      <c r="B1" s="10"/>
      <c r="C1" s="10"/>
      <c r="D1" s="10"/>
      <c r="E1" s="10"/>
      <c r="F1" s="10"/>
      <c r="G1" s="1"/>
    </row>
    <row r="2" spans="2:7" ht="62.25" customHeight="1" x14ac:dyDescent="0.3">
      <c r="B2" s="214" t="s">
        <v>321</v>
      </c>
      <c r="C2" s="214"/>
      <c r="D2" s="214"/>
      <c r="E2" s="214"/>
      <c r="F2" s="214"/>
      <c r="G2" s="1"/>
    </row>
    <row r="3" spans="2:7" ht="32.2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5</v>
      </c>
      <c r="G3" s="1"/>
    </row>
    <row r="4" spans="2:7" ht="30" x14ac:dyDescent="0.3">
      <c r="B4" s="14" t="s">
        <v>27</v>
      </c>
      <c r="C4" s="134">
        <v>0</v>
      </c>
      <c r="D4" s="134">
        <v>0.5</v>
      </c>
      <c r="E4" s="134">
        <v>0.5</v>
      </c>
      <c r="F4" s="134">
        <v>0</v>
      </c>
      <c r="G4" s="1"/>
    </row>
    <row r="5" spans="2:7" ht="18.75" x14ac:dyDescent="0.3">
      <c r="B5" s="12" t="s">
        <v>6</v>
      </c>
      <c r="C5" s="135" t="s">
        <v>128</v>
      </c>
      <c r="D5" s="136">
        <v>8</v>
      </c>
      <c r="E5" s="136">
        <v>1</v>
      </c>
      <c r="F5" s="135" t="s">
        <v>128</v>
      </c>
      <c r="G5" s="1"/>
    </row>
    <row r="6" spans="2:7" ht="18.75" x14ac:dyDescent="0.3">
      <c r="B6" s="12" t="s">
        <v>26</v>
      </c>
      <c r="C6" s="136">
        <v>0</v>
      </c>
      <c r="D6" s="136">
        <v>12.5</v>
      </c>
      <c r="E6" s="136">
        <v>12.5</v>
      </c>
      <c r="F6" s="136">
        <v>0</v>
      </c>
      <c r="G6" s="1"/>
    </row>
    <row r="7" spans="2:7" ht="63" x14ac:dyDescent="0.3">
      <c r="B7" s="2" t="s">
        <v>30</v>
      </c>
      <c r="C7" s="137">
        <v>1</v>
      </c>
      <c r="D7" s="136">
        <v>1</v>
      </c>
      <c r="E7" s="136">
        <v>1</v>
      </c>
      <c r="F7" s="136">
        <v>1</v>
      </c>
      <c r="G7" s="1"/>
    </row>
    <row r="8" spans="2:7" ht="71.25" customHeight="1" x14ac:dyDescent="0.3">
      <c r="B8" s="12" t="s">
        <v>6</v>
      </c>
      <c r="C8" s="237" t="s">
        <v>63</v>
      </c>
      <c r="D8" s="238"/>
      <c r="E8" s="238"/>
      <c r="F8" s="239"/>
      <c r="G8" s="1"/>
    </row>
    <row r="9" spans="2:7" ht="18.75" x14ac:dyDescent="0.3">
      <c r="B9" s="12" t="s">
        <v>26</v>
      </c>
      <c r="C9" s="135">
        <v>25</v>
      </c>
      <c r="D9" s="136">
        <v>25</v>
      </c>
      <c r="E9" s="136">
        <v>25</v>
      </c>
      <c r="F9" s="136">
        <v>25</v>
      </c>
      <c r="G9" s="1"/>
    </row>
    <row r="10" spans="2:7" ht="63.75" x14ac:dyDescent="0.3">
      <c r="B10" s="7" t="s">
        <v>29</v>
      </c>
      <c r="C10" s="135">
        <v>1</v>
      </c>
      <c r="D10" s="136">
        <v>1</v>
      </c>
      <c r="E10" s="136">
        <v>1</v>
      </c>
      <c r="F10" s="136">
        <v>1</v>
      </c>
      <c r="G10" s="1"/>
    </row>
    <row r="11" spans="2:7" ht="18.75" x14ac:dyDescent="0.3">
      <c r="B11" s="12" t="s">
        <v>6</v>
      </c>
      <c r="C11" s="135" t="s">
        <v>64</v>
      </c>
      <c r="D11" s="139"/>
      <c r="E11" s="139"/>
      <c r="F11" s="139"/>
      <c r="G11" s="1"/>
    </row>
    <row r="12" spans="2:7" ht="18.75" x14ac:dyDescent="0.3">
      <c r="B12" s="12" t="s">
        <v>26</v>
      </c>
      <c r="C12" s="135">
        <v>20</v>
      </c>
      <c r="D12" s="136">
        <v>20</v>
      </c>
      <c r="E12" s="136">
        <v>20</v>
      </c>
      <c r="F12" s="136">
        <v>20</v>
      </c>
      <c r="G12" s="1"/>
    </row>
    <row r="13" spans="2:7" ht="79.5" x14ac:dyDescent="0.3">
      <c r="B13" s="7" t="s">
        <v>28</v>
      </c>
      <c r="C13" s="140">
        <v>1</v>
      </c>
      <c r="D13" s="140">
        <v>1</v>
      </c>
      <c r="E13" s="140">
        <v>1</v>
      </c>
      <c r="F13" s="140">
        <v>1</v>
      </c>
      <c r="G13" s="1"/>
    </row>
    <row r="14" spans="2:7" ht="51.75" x14ac:dyDescent="0.3">
      <c r="B14" s="12" t="s">
        <v>6</v>
      </c>
      <c r="C14" s="141" t="s">
        <v>59</v>
      </c>
      <c r="D14" s="142" t="s">
        <v>59</v>
      </c>
      <c r="E14" s="142" t="s">
        <v>59</v>
      </c>
      <c r="F14" s="141" t="s">
        <v>59</v>
      </c>
      <c r="G14" s="1"/>
    </row>
    <row r="15" spans="2:7" ht="18.75" x14ac:dyDescent="0.3">
      <c r="B15" s="12" t="s">
        <v>26</v>
      </c>
      <c r="C15" s="134">
        <f>30*1</f>
        <v>30</v>
      </c>
      <c r="D15" s="134">
        <f t="shared" ref="D15:F15" si="0">30*1</f>
        <v>30</v>
      </c>
      <c r="E15" s="134">
        <f t="shared" si="0"/>
        <v>30</v>
      </c>
      <c r="F15" s="134">
        <f t="shared" si="0"/>
        <v>30</v>
      </c>
      <c r="G15" s="1"/>
    </row>
    <row r="16" spans="2:7" ht="30" customHeight="1" x14ac:dyDescent="0.3">
      <c r="B16" s="53" t="s">
        <v>58</v>
      </c>
      <c r="C16" s="39">
        <f>C6+C9+C12+C15</f>
        <v>75</v>
      </c>
      <c r="D16" s="39">
        <f t="shared" ref="D16:F16" si="1">D6+D9+D12+D15</f>
        <v>87.5</v>
      </c>
      <c r="E16" s="39">
        <f t="shared" si="1"/>
        <v>87.5</v>
      </c>
      <c r="F16" s="39">
        <f t="shared" si="1"/>
        <v>75</v>
      </c>
      <c r="G16" s="1"/>
    </row>
    <row r="17" spans="2:7" ht="18.75" x14ac:dyDescent="0.3">
      <c r="B17" s="37" t="s">
        <v>55</v>
      </c>
      <c r="C17" s="40" t="s">
        <v>245</v>
      </c>
      <c r="D17" s="40" t="s">
        <v>244</v>
      </c>
      <c r="E17" s="40" t="s">
        <v>244</v>
      </c>
      <c r="F17" s="40" t="s">
        <v>245</v>
      </c>
      <c r="G17" s="1"/>
    </row>
    <row r="18" spans="2:7" ht="33.75" x14ac:dyDescent="0.3">
      <c r="B18" s="53" t="s">
        <v>54</v>
      </c>
      <c r="C18" s="215">
        <f>(C16+D16+E16+F16)/4</f>
        <v>81.25</v>
      </c>
      <c r="D18" s="216"/>
      <c r="E18" s="216"/>
      <c r="F18" s="217"/>
      <c r="G18" s="1"/>
    </row>
    <row r="19" spans="2:7" ht="93.75" x14ac:dyDescent="0.3">
      <c r="B19" s="38" t="s">
        <v>57</v>
      </c>
      <c r="C19" s="48">
        <f>100-C16</f>
        <v>25</v>
      </c>
      <c r="D19" s="48">
        <f t="shared" ref="D19:F19" si="2">100-D16</f>
        <v>12.5</v>
      </c>
      <c r="E19" s="48">
        <f t="shared" si="2"/>
        <v>12.5</v>
      </c>
      <c r="F19" s="48">
        <f t="shared" si="2"/>
        <v>25</v>
      </c>
      <c r="G19" s="1"/>
    </row>
    <row r="20" spans="2:7" ht="69" customHeight="1" x14ac:dyDescent="0.3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1"/>
    </row>
    <row r="21" spans="2:7" ht="18.75" x14ac:dyDescent="0.3">
      <c r="B21" s="1"/>
    </row>
    <row r="22" spans="2:7" ht="16.5" x14ac:dyDescent="0.25">
      <c r="B22" s="71" t="s">
        <v>274</v>
      </c>
      <c r="C22" s="71"/>
      <c r="D22" s="71"/>
      <c r="E22" s="71"/>
      <c r="F22" s="71" t="s">
        <v>118</v>
      </c>
    </row>
    <row r="23" spans="2:7" ht="16.5" x14ac:dyDescent="0.25">
      <c r="B23" s="71"/>
      <c r="C23" s="71"/>
      <c r="D23" s="71"/>
      <c r="E23" s="71"/>
      <c r="F23" s="71"/>
    </row>
    <row r="24" spans="2:7" ht="16.5" x14ac:dyDescent="0.25">
      <c r="B24" s="71" t="s">
        <v>185</v>
      </c>
      <c r="C24" s="71"/>
      <c r="D24" s="71"/>
      <c r="E24" s="71"/>
      <c r="F24" s="71"/>
    </row>
  </sheetData>
  <mergeCells count="3">
    <mergeCell ref="B2:F2"/>
    <mergeCell ref="C8:F8"/>
    <mergeCell ref="C18:F18"/>
  </mergeCells>
  <pageMargins left="0.35433070866141736" right="0.15748031496062992" top="0.78740157480314965" bottom="0.59055118110236227" header="0.51181102362204722" footer="0.51181102362204722"/>
  <pageSetup paperSize="9" scale="97" fitToHeight="2" orientation="landscape" r:id="rId1"/>
  <rowBreaks count="1" manualBreakCount="1">
    <brk id="13" max="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view="pageBreakPreview" zoomScale="85" zoomScaleNormal="100" zoomScaleSheetLayoutView="85" workbookViewId="0">
      <selection activeCell="B2" sqref="B2:F2"/>
    </sheetView>
  </sheetViews>
  <sheetFormatPr defaultRowHeight="15" x14ac:dyDescent="0.25"/>
  <cols>
    <col min="1" max="1" width="1.5703125" customWidth="1"/>
    <col min="2" max="2" width="41.7109375" customWidth="1"/>
    <col min="3" max="3" width="26.5703125" customWidth="1"/>
    <col min="4" max="4" width="24.85546875" customWidth="1"/>
    <col min="5" max="5" width="25.28515625" customWidth="1"/>
    <col min="6" max="6" width="25.42578125" customWidth="1"/>
  </cols>
  <sheetData>
    <row r="1" spans="2:7" ht="18.75" x14ac:dyDescent="0.3">
      <c r="B1" s="10"/>
      <c r="C1" s="10"/>
      <c r="D1" s="10"/>
      <c r="E1" s="10"/>
      <c r="F1" s="10"/>
      <c r="G1" s="1"/>
    </row>
    <row r="2" spans="2:7" ht="62.25" customHeight="1" x14ac:dyDescent="0.3">
      <c r="B2" s="214" t="s">
        <v>321</v>
      </c>
      <c r="C2" s="214"/>
      <c r="D2" s="214"/>
      <c r="E2" s="214"/>
      <c r="F2" s="214"/>
      <c r="G2" s="1"/>
    </row>
    <row r="3" spans="2:7" ht="32.2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5</v>
      </c>
      <c r="G3" s="1"/>
    </row>
    <row r="4" spans="2:7" ht="30" x14ac:dyDescent="0.3">
      <c r="B4" s="186" t="s">
        <v>27</v>
      </c>
      <c r="C4" s="134">
        <v>0</v>
      </c>
      <c r="D4" s="134">
        <v>0.5</v>
      </c>
      <c r="E4" s="134">
        <v>0.5</v>
      </c>
      <c r="F4" s="134">
        <v>0</v>
      </c>
      <c r="G4" s="1"/>
    </row>
    <row r="5" spans="2:7" ht="18.75" x14ac:dyDescent="0.3">
      <c r="B5" s="150" t="s">
        <v>6</v>
      </c>
      <c r="C5" s="135" t="s">
        <v>128</v>
      </c>
      <c r="D5" s="136">
        <v>1</v>
      </c>
      <c r="E5" s="136">
        <v>3</v>
      </c>
      <c r="F5" s="135" t="s">
        <v>128</v>
      </c>
      <c r="G5" s="1"/>
    </row>
    <row r="6" spans="2:7" ht="18.75" x14ac:dyDescent="0.3">
      <c r="B6" s="150" t="s">
        <v>26</v>
      </c>
      <c r="C6" s="136">
        <v>0</v>
      </c>
      <c r="D6" s="136">
        <v>12.5</v>
      </c>
      <c r="E6" s="136">
        <v>12.5</v>
      </c>
      <c r="F6" s="136">
        <v>0</v>
      </c>
      <c r="G6" s="1"/>
    </row>
    <row r="7" spans="2:7" ht="63" x14ac:dyDescent="0.3">
      <c r="B7" s="155" t="s">
        <v>30</v>
      </c>
      <c r="C7" s="137">
        <v>1</v>
      </c>
      <c r="D7" s="136">
        <v>1</v>
      </c>
      <c r="E7" s="136">
        <v>1</v>
      </c>
      <c r="F7" s="136">
        <v>1</v>
      </c>
      <c r="G7" s="1"/>
    </row>
    <row r="8" spans="2:7" ht="71.25" customHeight="1" x14ac:dyDescent="0.3">
      <c r="B8" s="150" t="s">
        <v>6</v>
      </c>
      <c r="C8" s="237" t="s">
        <v>63</v>
      </c>
      <c r="D8" s="238"/>
      <c r="E8" s="238"/>
      <c r="F8" s="239"/>
      <c r="G8" s="1"/>
    </row>
    <row r="9" spans="2:7" ht="18.75" x14ac:dyDescent="0.3">
      <c r="B9" s="150" t="s">
        <v>26</v>
      </c>
      <c r="C9" s="135">
        <v>25</v>
      </c>
      <c r="D9" s="136">
        <v>25</v>
      </c>
      <c r="E9" s="136">
        <v>25</v>
      </c>
      <c r="F9" s="136">
        <v>25</v>
      </c>
      <c r="G9" s="1"/>
    </row>
    <row r="10" spans="2:7" ht="63.75" x14ac:dyDescent="0.3">
      <c r="B10" s="159" t="s">
        <v>29</v>
      </c>
      <c r="C10" s="135">
        <v>1</v>
      </c>
      <c r="D10" s="136">
        <v>1</v>
      </c>
      <c r="E10" s="136">
        <v>1</v>
      </c>
      <c r="F10" s="136">
        <v>1</v>
      </c>
      <c r="G10" s="1"/>
    </row>
    <row r="11" spans="2:7" ht="18.75" x14ac:dyDescent="0.3">
      <c r="B11" s="150" t="s">
        <v>6</v>
      </c>
      <c r="C11" s="135" t="s">
        <v>64</v>
      </c>
      <c r="D11" s="139"/>
      <c r="E11" s="139"/>
      <c r="F11" s="139"/>
      <c r="G11" s="1"/>
    </row>
    <row r="12" spans="2:7" ht="18.75" x14ac:dyDescent="0.3">
      <c r="B12" s="150" t="s">
        <v>26</v>
      </c>
      <c r="C12" s="135">
        <v>20</v>
      </c>
      <c r="D12" s="136">
        <v>20</v>
      </c>
      <c r="E12" s="136">
        <v>20</v>
      </c>
      <c r="F12" s="136">
        <v>20</v>
      </c>
      <c r="G12" s="1"/>
    </row>
    <row r="13" spans="2:7" ht="79.5" x14ac:dyDescent="0.3">
      <c r="B13" s="159" t="s">
        <v>28</v>
      </c>
      <c r="C13" s="140">
        <v>1</v>
      </c>
      <c r="D13" s="140">
        <v>1</v>
      </c>
      <c r="E13" s="140">
        <v>1</v>
      </c>
      <c r="F13" s="140">
        <v>1</v>
      </c>
      <c r="G13" s="1"/>
    </row>
    <row r="14" spans="2:7" ht="51.75" x14ac:dyDescent="0.3">
      <c r="B14" s="150" t="s">
        <v>6</v>
      </c>
      <c r="C14" s="141" t="s">
        <v>59</v>
      </c>
      <c r="D14" s="142" t="s">
        <v>59</v>
      </c>
      <c r="E14" s="142" t="s">
        <v>59</v>
      </c>
      <c r="F14" s="141" t="s">
        <v>59</v>
      </c>
      <c r="G14" s="1"/>
    </row>
    <row r="15" spans="2:7" ht="18.75" x14ac:dyDescent="0.3">
      <c r="B15" s="150" t="s">
        <v>26</v>
      </c>
      <c r="C15" s="134">
        <f>30*1</f>
        <v>30</v>
      </c>
      <c r="D15" s="134">
        <f t="shared" ref="D15:F15" si="0">30*1</f>
        <v>30</v>
      </c>
      <c r="E15" s="134">
        <f t="shared" si="0"/>
        <v>30</v>
      </c>
      <c r="F15" s="134">
        <f t="shared" si="0"/>
        <v>30</v>
      </c>
      <c r="G15" s="1"/>
    </row>
    <row r="16" spans="2:7" ht="30" customHeight="1" x14ac:dyDescent="0.3">
      <c r="B16" s="53" t="s">
        <v>58</v>
      </c>
      <c r="C16" s="39">
        <f>C6+C9+C12+C15</f>
        <v>75</v>
      </c>
      <c r="D16" s="39">
        <f t="shared" ref="D16:F16" si="1">D6+D9+D12+D15</f>
        <v>87.5</v>
      </c>
      <c r="E16" s="39">
        <f t="shared" si="1"/>
        <v>87.5</v>
      </c>
      <c r="F16" s="39">
        <f t="shared" si="1"/>
        <v>75</v>
      </c>
      <c r="G16" s="1"/>
    </row>
    <row r="17" spans="2:7" ht="18.75" x14ac:dyDescent="0.3">
      <c r="B17" s="37" t="s">
        <v>55</v>
      </c>
      <c r="C17" s="40" t="s">
        <v>245</v>
      </c>
      <c r="D17" s="40" t="s">
        <v>244</v>
      </c>
      <c r="E17" s="40" t="s">
        <v>244</v>
      </c>
      <c r="F17" s="40" t="s">
        <v>245</v>
      </c>
      <c r="G17" s="1"/>
    </row>
    <row r="18" spans="2:7" ht="33.75" x14ac:dyDescent="0.3">
      <c r="B18" s="53" t="s">
        <v>54</v>
      </c>
      <c r="C18" s="215">
        <f>(C16+D16+E16+F16)/4</f>
        <v>81.25</v>
      </c>
      <c r="D18" s="216"/>
      <c r="E18" s="216"/>
      <c r="F18" s="217"/>
      <c r="G18" s="1"/>
    </row>
    <row r="19" spans="2:7" ht="93.75" x14ac:dyDescent="0.3">
      <c r="B19" s="38" t="s">
        <v>57</v>
      </c>
      <c r="C19" s="48">
        <f>100-C16</f>
        <v>25</v>
      </c>
      <c r="D19" s="48">
        <f t="shared" ref="D19:F19" si="2">100-D16</f>
        <v>12.5</v>
      </c>
      <c r="E19" s="48">
        <f t="shared" si="2"/>
        <v>12.5</v>
      </c>
      <c r="F19" s="48">
        <f t="shared" si="2"/>
        <v>25</v>
      </c>
      <c r="G19" s="1"/>
    </row>
    <row r="20" spans="2:7" ht="69" customHeight="1" x14ac:dyDescent="0.3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1"/>
    </row>
    <row r="21" spans="2:7" ht="18.75" x14ac:dyDescent="0.3">
      <c r="B21" s="1"/>
    </row>
    <row r="22" spans="2:7" ht="16.5" x14ac:dyDescent="0.25">
      <c r="B22" s="71" t="s">
        <v>274</v>
      </c>
      <c r="C22" s="71"/>
      <c r="D22" s="71"/>
      <c r="E22" s="71"/>
      <c r="F22" s="71" t="s">
        <v>118</v>
      </c>
    </row>
    <row r="23" spans="2:7" ht="16.5" x14ac:dyDescent="0.25">
      <c r="B23" s="71"/>
      <c r="C23" s="71"/>
      <c r="D23" s="71"/>
      <c r="E23" s="71"/>
      <c r="F23" s="71"/>
    </row>
    <row r="24" spans="2:7" ht="16.5" x14ac:dyDescent="0.25">
      <c r="B24" s="71" t="s">
        <v>289</v>
      </c>
      <c r="C24" s="71"/>
      <c r="D24" s="71"/>
      <c r="E24" s="71"/>
      <c r="F24" s="71"/>
    </row>
  </sheetData>
  <mergeCells count="3">
    <mergeCell ref="B2:F2"/>
    <mergeCell ref="C8:F8"/>
    <mergeCell ref="C18:F18"/>
  </mergeCells>
  <pageMargins left="0.35433070866141736" right="0.15748031496062992" top="0.78740157480314965" bottom="0.59055118110236227" header="0.51181102362204722" footer="0.51181102362204722"/>
  <pageSetup paperSize="9" scale="97" fitToHeight="2" orientation="landscape" r:id="rId1"/>
  <rowBreaks count="1" manualBreakCount="1">
    <brk id="13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view="pageBreakPreview" zoomScale="85" zoomScaleNormal="100" zoomScaleSheetLayoutView="85" workbookViewId="0">
      <selection activeCell="C21" sqref="C21"/>
    </sheetView>
  </sheetViews>
  <sheetFormatPr defaultRowHeight="15" x14ac:dyDescent="0.25"/>
  <cols>
    <col min="1" max="1" width="1.5703125" customWidth="1"/>
    <col min="2" max="2" width="41.7109375" customWidth="1"/>
    <col min="3" max="3" width="26.5703125" customWidth="1"/>
    <col min="4" max="4" width="24.85546875" customWidth="1"/>
    <col min="5" max="5" width="25.28515625" customWidth="1"/>
    <col min="6" max="6" width="25.42578125" customWidth="1"/>
  </cols>
  <sheetData>
    <row r="1" spans="2:7" ht="18.75" x14ac:dyDescent="0.3">
      <c r="B1" s="10"/>
      <c r="C1" s="10"/>
      <c r="D1" s="10"/>
      <c r="E1" s="10"/>
      <c r="F1" s="10"/>
      <c r="G1" s="1"/>
    </row>
    <row r="2" spans="2:7" ht="62.25" customHeight="1" x14ac:dyDescent="0.3">
      <c r="B2" s="214" t="s">
        <v>322</v>
      </c>
      <c r="C2" s="214"/>
      <c r="D2" s="214"/>
      <c r="E2" s="214"/>
      <c r="F2" s="214"/>
      <c r="G2" s="1"/>
    </row>
    <row r="3" spans="2:7" ht="32.2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5</v>
      </c>
      <c r="G3" s="1"/>
    </row>
    <row r="4" spans="2:7" ht="30" x14ac:dyDescent="0.3">
      <c r="B4" s="186" t="s">
        <v>27</v>
      </c>
      <c r="C4" s="134">
        <v>0</v>
      </c>
      <c r="D4" s="134">
        <v>0.5</v>
      </c>
      <c r="E4" s="134">
        <v>0.5</v>
      </c>
      <c r="F4" s="134">
        <v>0</v>
      </c>
      <c r="G4" s="1"/>
    </row>
    <row r="5" spans="2:7" ht="18.75" x14ac:dyDescent="0.3">
      <c r="B5" s="150" t="s">
        <v>6</v>
      </c>
      <c r="C5" s="135" t="s">
        <v>128</v>
      </c>
      <c r="D5" s="136">
        <v>5</v>
      </c>
      <c r="E5" s="136">
        <v>3</v>
      </c>
      <c r="F5" s="135" t="s">
        <v>128</v>
      </c>
      <c r="G5" s="1"/>
    </row>
    <row r="6" spans="2:7" ht="18.75" x14ac:dyDescent="0.3">
      <c r="B6" s="150" t="s">
        <v>26</v>
      </c>
      <c r="C6" s="136">
        <v>0</v>
      </c>
      <c r="D6" s="136">
        <v>12.5</v>
      </c>
      <c r="E6" s="136">
        <v>12.5</v>
      </c>
      <c r="F6" s="136">
        <v>0</v>
      </c>
      <c r="G6" s="1"/>
    </row>
    <row r="7" spans="2:7" ht="63" x14ac:dyDescent="0.3">
      <c r="B7" s="155" t="s">
        <v>30</v>
      </c>
      <c r="C7" s="137">
        <v>0</v>
      </c>
      <c r="D7" s="136">
        <v>1</v>
      </c>
      <c r="E7" s="136">
        <v>1</v>
      </c>
      <c r="F7" s="136">
        <v>1</v>
      </c>
      <c r="G7" s="1"/>
    </row>
    <row r="8" spans="2:7" ht="97.5" customHeight="1" x14ac:dyDescent="0.3">
      <c r="B8" s="150" t="s">
        <v>6</v>
      </c>
      <c r="C8" s="187" t="s">
        <v>323</v>
      </c>
      <c r="D8" s="240" t="s">
        <v>63</v>
      </c>
      <c r="E8" s="241"/>
      <c r="F8" s="242"/>
      <c r="G8" s="1"/>
    </row>
    <row r="9" spans="2:7" ht="18.75" x14ac:dyDescent="0.3">
      <c r="B9" s="150" t="s">
        <v>26</v>
      </c>
      <c r="C9" s="135">
        <v>0</v>
      </c>
      <c r="D9" s="136">
        <v>25</v>
      </c>
      <c r="E9" s="136">
        <v>25</v>
      </c>
      <c r="F9" s="136">
        <v>25</v>
      </c>
      <c r="G9" s="1"/>
    </row>
    <row r="10" spans="2:7" ht="63.75" x14ac:dyDescent="0.3">
      <c r="B10" s="159" t="s">
        <v>29</v>
      </c>
      <c r="C10" s="135">
        <v>1</v>
      </c>
      <c r="D10" s="136">
        <v>1</v>
      </c>
      <c r="E10" s="136">
        <v>1</v>
      </c>
      <c r="F10" s="136">
        <v>1</v>
      </c>
      <c r="G10" s="1"/>
    </row>
    <row r="11" spans="2:7" ht="18.75" x14ac:dyDescent="0.3">
      <c r="B11" s="150" t="s">
        <v>6</v>
      </c>
      <c r="C11" s="135" t="s">
        <v>64</v>
      </c>
      <c r="D11" s="139"/>
      <c r="E11" s="139"/>
      <c r="F11" s="139"/>
      <c r="G11" s="1"/>
    </row>
    <row r="12" spans="2:7" ht="18.75" x14ac:dyDescent="0.3">
      <c r="B12" s="150" t="s">
        <v>26</v>
      </c>
      <c r="C12" s="135">
        <v>20</v>
      </c>
      <c r="D12" s="136">
        <v>20</v>
      </c>
      <c r="E12" s="136">
        <v>20</v>
      </c>
      <c r="F12" s="136">
        <v>20</v>
      </c>
      <c r="G12" s="1"/>
    </row>
    <row r="13" spans="2:7" ht="79.5" x14ac:dyDescent="0.3">
      <c r="B13" s="159" t="s">
        <v>28</v>
      </c>
      <c r="C13" s="140">
        <v>1</v>
      </c>
      <c r="D13" s="140">
        <v>1</v>
      </c>
      <c r="E13" s="140">
        <v>1</v>
      </c>
      <c r="F13" s="140">
        <v>1</v>
      </c>
      <c r="G13" s="1"/>
    </row>
    <row r="14" spans="2:7" ht="51.75" x14ac:dyDescent="0.3">
      <c r="B14" s="150" t="s">
        <v>6</v>
      </c>
      <c r="C14" s="141" t="s">
        <v>59</v>
      </c>
      <c r="D14" s="142" t="s">
        <v>59</v>
      </c>
      <c r="E14" s="142" t="s">
        <v>59</v>
      </c>
      <c r="F14" s="141" t="s">
        <v>59</v>
      </c>
      <c r="G14" s="1"/>
    </row>
    <row r="15" spans="2:7" ht="18.75" x14ac:dyDescent="0.3">
      <c r="B15" s="150" t="s">
        <v>26</v>
      </c>
      <c r="C15" s="134">
        <f>30*1</f>
        <v>30</v>
      </c>
      <c r="D15" s="134">
        <f t="shared" ref="D15:F15" si="0">30*1</f>
        <v>30</v>
      </c>
      <c r="E15" s="134">
        <f t="shared" si="0"/>
        <v>30</v>
      </c>
      <c r="F15" s="134">
        <f t="shared" si="0"/>
        <v>30</v>
      </c>
      <c r="G15" s="1"/>
    </row>
    <row r="16" spans="2:7" ht="30" customHeight="1" x14ac:dyDescent="0.3">
      <c r="B16" s="53" t="s">
        <v>58</v>
      </c>
      <c r="C16" s="39">
        <f>C6+C9+C12+C15</f>
        <v>50</v>
      </c>
      <c r="D16" s="39">
        <f t="shared" ref="D16:F16" si="1">D6+D9+D12+D15</f>
        <v>87.5</v>
      </c>
      <c r="E16" s="39">
        <f t="shared" si="1"/>
        <v>87.5</v>
      </c>
      <c r="F16" s="39">
        <f t="shared" si="1"/>
        <v>75</v>
      </c>
      <c r="G16" s="1"/>
    </row>
    <row r="17" spans="2:7" ht="18.75" x14ac:dyDescent="0.3">
      <c r="B17" s="37" t="s">
        <v>55</v>
      </c>
      <c r="C17" s="40" t="s">
        <v>200</v>
      </c>
      <c r="D17" s="40" t="s">
        <v>244</v>
      </c>
      <c r="E17" s="40" t="s">
        <v>244</v>
      </c>
      <c r="F17" s="40" t="s">
        <v>241</v>
      </c>
      <c r="G17" s="1"/>
    </row>
    <row r="18" spans="2:7" ht="33.75" x14ac:dyDescent="0.3">
      <c r="B18" s="53" t="s">
        <v>54</v>
      </c>
      <c r="C18" s="215">
        <f>(C16+D16+E16+F16)/4</f>
        <v>75</v>
      </c>
      <c r="D18" s="216"/>
      <c r="E18" s="216"/>
      <c r="F18" s="217"/>
      <c r="G18" s="1"/>
    </row>
    <row r="19" spans="2:7" ht="93.75" x14ac:dyDescent="0.3">
      <c r="B19" s="38" t="s">
        <v>57</v>
      </c>
      <c r="C19" s="48">
        <f>100-C16</f>
        <v>50</v>
      </c>
      <c r="D19" s="48">
        <f t="shared" ref="D19:F19" si="2">100-D16</f>
        <v>12.5</v>
      </c>
      <c r="E19" s="48">
        <f t="shared" si="2"/>
        <v>12.5</v>
      </c>
      <c r="F19" s="48">
        <f t="shared" si="2"/>
        <v>25</v>
      </c>
      <c r="G19" s="1"/>
    </row>
    <row r="20" spans="2:7" ht="69" customHeight="1" x14ac:dyDescent="0.3">
      <c r="B20" s="54" t="s">
        <v>61</v>
      </c>
      <c r="C20" s="44" t="s">
        <v>324</v>
      </c>
      <c r="D20" s="44" t="s">
        <v>60</v>
      </c>
      <c r="E20" s="44" t="s">
        <v>60</v>
      </c>
      <c r="F20" s="44" t="s">
        <v>60</v>
      </c>
      <c r="G20" s="1"/>
    </row>
    <row r="21" spans="2:7" ht="18.75" x14ac:dyDescent="0.3">
      <c r="B21" s="1"/>
    </row>
    <row r="22" spans="2:7" ht="16.5" x14ac:dyDescent="0.25">
      <c r="B22" s="71" t="s">
        <v>274</v>
      </c>
      <c r="C22" s="71"/>
      <c r="D22" s="71"/>
      <c r="E22" s="71"/>
      <c r="F22" s="71" t="s">
        <v>118</v>
      </c>
    </row>
    <row r="23" spans="2:7" ht="16.5" x14ac:dyDescent="0.25">
      <c r="B23" s="71"/>
      <c r="C23" s="71"/>
      <c r="D23" s="71"/>
      <c r="E23" s="71"/>
      <c r="F23" s="71"/>
    </row>
    <row r="24" spans="2:7" ht="16.5" x14ac:dyDescent="0.25">
      <c r="B24" s="71" t="s">
        <v>289</v>
      </c>
      <c r="C24" s="71"/>
      <c r="D24" s="71"/>
      <c r="E24" s="71"/>
      <c r="F24" s="71"/>
    </row>
  </sheetData>
  <mergeCells count="3">
    <mergeCell ref="B2:F2"/>
    <mergeCell ref="C18:F18"/>
    <mergeCell ref="D8:F8"/>
  </mergeCells>
  <pageMargins left="0.35433070866141736" right="0.15748031496062992" top="0.78740157480314965" bottom="0.59055118110236227" header="0.51181102362204722" footer="0.51181102362204722"/>
  <pageSetup paperSize="9" scale="97" fitToHeight="2" orientation="landscape" r:id="rId1"/>
  <rowBreaks count="1" manualBreakCount="1">
    <brk id="13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zoomScale="85" zoomScaleNormal="85" workbookViewId="0">
      <pane ySplit="2" topLeftCell="A9" activePane="bottomLeft" state="frozen"/>
      <selection pane="bottomLeft" activeCell="J9" sqref="J9"/>
    </sheetView>
  </sheetViews>
  <sheetFormatPr defaultRowHeight="15" x14ac:dyDescent="0.25"/>
  <cols>
    <col min="1" max="1" width="1.5703125" customWidth="1"/>
    <col min="2" max="2" width="42" customWidth="1"/>
    <col min="3" max="3" width="27.140625" customWidth="1"/>
    <col min="4" max="4" width="26" customWidth="1"/>
    <col min="5" max="5" width="26.28515625" customWidth="1"/>
    <col min="6" max="6" width="25.42578125" customWidth="1"/>
  </cols>
  <sheetData>
    <row r="1" spans="2:7" ht="61.5" customHeight="1" x14ac:dyDescent="0.25">
      <c r="B1" s="208" t="s">
        <v>325</v>
      </c>
      <c r="C1" s="208"/>
      <c r="D1" s="208"/>
      <c r="E1" s="208"/>
      <c r="F1" s="208"/>
    </row>
    <row r="2" spans="2:7" ht="32.25" x14ac:dyDescent="0.3">
      <c r="B2" s="9" t="s">
        <v>0</v>
      </c>
      <c r="C2" s="7" t="s">
        <v>1</v>
      </c>
      <c r="D2" s="61" t="s">
        <v>2</v>
      </c>
      <c r="E2" s="62" t="s">
        <v>3</v>
      </c>
      <c r="F2" s="62" t="s">
        <v>5</v>
      </c>
      <c r="G2" s="1"/>
    </row>
    <row r="3" spans="2:7" ht="18.75" x14ac:dyDescent="0.3">
      <c r="B3" s="232" t="s">
        <v>120</v>
      </c>
      <c r="C3" s="232"/>
      <c r="D3" s="232"/>
      <c r="E3" s="232"/>
      <c r="F3" s="232"/>
      <c r="G3" s="1"/>
    </row>
    <row r="4" spans="2:7" ht="47.25" x14ac:dyDescent="0.3">
      <c r="B4" s="155" t="s">
        <v>31</v>
      </c>
      <c r="C4" s="146">
        <f>20*90.5/100</f>
        <v>18.100000000000001</v>
      </c>
      <c r="D4" s="162">
        <f>20*0/100</f>
        <v>0</v>
      </c>
      <c r="E4" s="162">
        <f>20*98.5/100</f>
        <v>19.7</v>
      </c>
      <c r="F4" s="162">
        <f>20*98.1/100</f>
        <v>19.62</v>
      </c>
      <c r="G4" s="1"/>
    </row>
    <row r="5" spans="2:7" ht="18.75" x14ac:dyDescent="0.3">
      <c r="B5" s="163" t="s">
        <v>6</v>
      </c>
      <c r="C5" s="190" t="s">
        <v>326</v>
      </c>
      <c r="D5" s="190" t="s">
        <v>327</v>
      </c>
      <c r="E5" s="190" t="s">
        <v>328</v>
      </c>
      <c r="F5" s="190" t="s">
        <v>329</v>
      </c>
      <c r="G5" s="1"/>
    </row>
    <row r="6" spans="2:7" ht="18.75" x14ac:dyDescent="0.3">
      <c r="B6" s="150" t="s">
        <v>119</v>
      </c>
      <c r="C6" s="162">
        <f>25*C4/100</f>
        <v>4.5250000000000004</v>
      </c>
      <c r="D6" s="162">
        <f>25*D4/100</f>
        <v>0</v>
      </c>
      <c r="E6" s="162">
        <f>25*E4/100</f>
        <v>4.9249999999999998</v>
      </c>
      <c r="F6" s="162">
        <f>25*F4/100</f>
        <v>4.9050000000000002</v>
      </c>
      <c r="G6" s="1"/>
    </row>
    <row r="7" spans="2:7" ht="99" customHeight="1" x14ac:dyDescent="0.3">
      <c r="B7" s="155" t="s">
        <v>32</v>
      </c>
      <c r="C7" s="157">
        <v>20</v>
      </c>
      <c r="D7" s="157">
        <f>20*100/100</f>
        <v>20</v>
      </c>
      <c r="E7" s="157">
        <f>20*100/100</f>
        <v>20</v>
      </c>
      <c r="F7" s="146">
        <f>20*100/100</f>
        <v>20</v>
      </c>
      <c r="G7" s="1"/>
    </row>
    <row r="8" spans="2:7" ht="101.25" customHeight="1" x14ac:dyDescent="0.3">
      <c r="B8" s="150" t="s">
        <v>6</v>
      </c>
      <c r="C8" s="191" t="s">
        <v>330</v>
      </c>
      <c r="D8" s="157" t="s">
        <v>296</v>
      </c>
      <c r="E8" s="157" t="s">
        <v>296</v>
      </c>
      <c r="F8" s="190" t="s">
        <v>331</v>
      </c>
      <c r="G8" s="1"/>
    </row>
    <row r="9" spans="2:7" ht="18.75" x14ac:dyDescent="0.3">
      <c r="B9" s="150" t="s">
        <v>119</v>
      </c>
      <c r="C9" s="146">
        <f>25*C7/100</f>
        <v>5</v>
      </c>
      <c r="D9" s="146">
        <f>25*D7/100</f>
        <v>5</v>
      </c>
      <c r="E9" s="146">
        <f>25*E7/100</f>
        <v>5</v>
      </c>
      <c r="F9" s="146">
        <f>25*F7/100</f>
        <v>5</v>
      </c>
      <c r="G9" s="1"/>
    </row>
    <row r="10" spans="2:7" ht="94.5" x14ac:dyDescent="0.3">
      <c r="B10" s="151" t="s">
        <v>33</v>
      </c>
      <c r="C10" s="183">
        <f>20*100/100</f>
        <v>20</v>
      </c>
      <c r="D10" s="183">
        <f>20*100/100</f>
        <v>20</v>
      </c>
      <c r="E10" s="183">
        <f>20*100/100</f>
        <v>20</v>
      </c>
      <c r="F10" s="183">
        <f>20*100/100</f>
        <v>20</v>
      </c>
      <c r="G10" s="1"/>
    </row>
    <row r="11" spans="2:7" ht="45.75" x14ac:dyDescent="0.3">
      <c r="B11" s="150" t="s">
        <v>6</v>
      </c>
      <c r="C11" s="191" t="s">
        <v>332</v>
      </c>
      <c r="D11" s="166" t="s">
        <v>181</v>
      </c>
      <c r="E11" s="166" t="s">
        <v>181</v>
      </c>
      <c r="F11" s="190" t="s">
        <v>333</v>
      </c>
      <c r="G11" s="1"/>
    </row>
    <row r="12" spans="2:7" ht="18.75" x14ac:dyDescent="0.3">
      <c r="B12" s="150" t="s">
        <v>119</v>
      </c>
      <c r="C12" s="183">
        <f>25*C10/100</f>
        <v>5</v>
      </c>
      <c r="D12" s="146">
        <f>25*D10/100</f>
        <v>5</v>
      </c>
      <c r="E12" s="146">
        <f>25*E10/100</f>
        <v>5</v>
      </c>
      <c r="F12" s="146">
        <f>25*F10/100</f>
        <v>5</v>
      </c>
      <c r="G12" s="1"/>
    </row>
    <row r="13" spans="2:7" ht="47.25" x14ac:dyDescent="0.3">
      <c r="B13" s="155" t="s">
        <v>260</v>
      </c>
      <c r="C13" s="154">
        <f>1*20</f>
        <v>20</v>
      </c>
      <c r="D13" s="154">
        <f t="shared" ref="D13:F13" si="0">1*20</f>
        <v>20</v>
      </c>
      <c r="E13" s="154">
        <f t="shared" si="0"/>
        <v>20</v>
      </c>
      <c r="F13" s="154">
        <f t="shared" si="0"/>
        <v>20</v>
      </c>
      <c r="G13" s="1"/>
    </row>
    <row r="14" spans="2:7" ht="18.75" x14ac:dyDescent="0.3">
      <c r="B14" s="150" t="s">
        <v>8</v>
      </c>
      <c r="C14" s="167" t="s">
        <v>298</v>
      </c>
      <c r="D14" s="167" t="s">
        <v>298</v>
      </c>
      <c r="E14" s="167" t="s">
        <v>298</v>
      </c>
      <c r="F14" s="167" t="s">
        <v>298</v>
      </c>
      <c r="G14" s="1"/>
    </row>
    <row r="15" spans="2:7" ht="18.75" x14ac:dyDescent="0.3">
      <c r="B15" s="150" t="s">
        <v>119</v>
      </c>
      <c r="C15" s="168">
        <f>25*C13/100</f>
        <v>5</v>
      </c>
      <c r="D15" s="168">
        <f>25*D13/100</f>
        <v>5</v>
      </c>
      <c r="E15" s="168">
        <f>25*E13/100</f>
        <v>5</v>
      </c>
      <c r="F15" s="168">
        <f t="shared" ref="F15" si="1">25*F13/100</f>
        <v>5</v>
      </c>
      <c r="G15" s="1"/>
    </row>
    <row r="16" spans="2:7" ht="31.5" x14ac:dyDescent="0.3">
      <c r="B16" s="155" t="s">
        <v>35</v>
      </c>
      <c r="C16" s="169">
        <f>1*20*96.2/100</f>
        <v>19.239999999999998</v>
      </c>
      <c r="D16" s="169">
        <f>1*20*92.9/100</f>
        <v>18.579999999999998</v>
      </c>
      <c r="E16" s="169">
        <f>1*20*100/100</f>
        <v>20</v>
      </c>
      <c r="F16" s="169">
        <f>1*20*98.1/100</f>
        <v>19.62</v>
      </c>
      <c r="G16" s="1"/>
    </row>
    <row r="17" spans="2:7" ht="18.75" x14ac:dyDescent="0.3">
      <c r="B17" s="150" t="s">
        <v>6</v>
      </c>
      <c r="C17" s="190" t="s">
        <v>338</v>
      </c>
      <c r="D17" s="190" t="s">
        <v>339</v>
      </c>
      <c r="E17" s="190" t="s">
        <v>340</v>
      </c>
      <c r="F17" s="190" t="s">
        <v>329</v>
      </c>
      <c r="G17" s="1"/>
    </row>
    <row r="18" spans="2:7" ht="18.75" x14ac:dyDescent="0.3">
      <c r="B18" s="150" t="s">
        <v>119</v>
      </c>
      <c r="C18" s="162">
        <f>25*C16/100</f>
        <v>4.8099999999999996</v>
      </c>
      <c r="D18" s="162">
        <f t="shared" ref="D18:E18" si="2">25*D16/100</f>
        <v>4.6449999999999996</v>
      </c>
      <c r="E18" s="162">
        <f t="shared" si="2"/>
        <v>5</v>
      </c>
      <c r="F18" s="162">
        <f>25*F16/100</f>
        <v>4.9050000000000002</v>
      </c>
      <c r="G18" s="1"/>
    </row>
    <row r="19" spans="2:7" ht="18.75" x14ac:dyDescent="0.3">
      <c r="B19" s="233" t="s">
        <v>121</v>
      </c>
      <c r="C19" s="234"/>
      <c r="D19" s="234"/>
      <c r="E19" s="234"/>
      <c r="F19" s="235"/>
      <c r="G19" s="1"/>
    </row>
    <row r="20" spans="2:7" s="144" customFormat="1" ht="48" x14ac:dyDescent="0.3">
      <c r="B20" s="155" t="s">
        <v>36</v>
      </c>
      <c r="C20" s="192" t="s">
        <v>341</v>
      </c>
      <c r="D20" s="193" t="s">
        <v>344</v>
      </c>
      <c r="E20" s="193" t="s">
        <v>346</v>
      </c>
      <c r="F20" s="194" t="s">
        <v>348</v>
      </c>
      <c r="G20" s="147"/>
    </row>
    <row r="21" spans="2:7" s="144" customFormat="1" ht="50.25" customHeight="1" x14ac:dyDescent="0.3">
      <c r="B21" s="156" t="s">
        <v>9</v>
      </c>
      <c r="C21" s="195" t="s">
        <v>343</v>
      </c>
      <c r="D21" s="195" t="s">
        <v>342</v>
      </c>
      <c r="E21" s="195" t="s">
        <v>345</v>
      </c>
      <c r="F21" s="195" t="s">
        <v>347</v>
      </c>
      <c r="G21" s="147"/>
    </row>
    <row r="22" spans="2:7" s="144" customFormat="1" ht="18.75" x14ac:dyDescent="0.3">
      <c r="B22" s="150" t="s">
        <v>119</v>
      </c>
      <c r="C22" s="146">
        <f>25*20/100</f>
        <v>5</v>
      </c>
      <c r="D22" s="146">
        <f>25*20/100</f>
        <v>5</v>
      </c>
      <c r="E22" s="146">
        <f>25*0.04/100</f>
        <v>0.01</v>
      </c>
      <c r="F22" s="146">
        <f>25*20/100</f>
        <v>5</v>
      </c>
      <c r="G22" s="147"/>
    </row>
    <row r="23" spans="2:7" ht="63" x14ac:dyDescent="0.3">
      <c r="B23" s="170" t="s">
        <v>37</v>
      </c>
      <c r="C23" s="157">
        <f>10*100/100</f>
        <v>10</v>
      </c>
      <c r="D23" s="157">
        <f>10*100/100</f>
        <v>10</v>
      </c>
      <c r="E23" s="157">
        <f t="shared" ref="E23" si="3">10*100/100</f>
        <v>10</v>
      </c>
      <c r="F23" s="157">
        <f>10*100/100</f>
        <v>10</v>
      </c>
      <c r="G23" s="1"/>
    </row>
    <row r="24" spans="2:7" ht="48" x14ac:dyDescent="0.3">
      <c r="B24" s="163" t="s">
        <v>6</v>
      </c>
      <c r="C24" s="193" t="s">
        <v>334</v>
      </c>
      <c r="D24" s="157" t="s">
        <v>15</v>
      </c>
      <c r="E24" s="157" t="s">
        <v>15</v>
      </c>
      <c r="F24" s="193" t="s">
        <v>335</v>
      </c>
      <c r="G24" s="1"/>
    </row>
    <row r="25" spans="2:7" ht="18.75" x14ac:dyDescent="0.3">
      <c r="B25" s="150" t="s">
        <v>119</v>
      </c>
      <c r="C25" s="162">
        <f>C23*25/100</f>
        <v>2.5</v>
      </c>
      <c r="D25" s="146">
        <f>10*25/100</f>
        <v>2.5</v>
      </c>
      <c r="E25" s="146">
        <f t="shared" ref="E25" si="4">10*25/100</f>
        <v>2.5</v>
      </c>
      <c r="F25" s="162">
        <f>F23*25/100</f>
        <v>2.5</v>
      </c>
      <c r="G25" s="1"/>
    </row>
    <row r="26" spans="2:7" ht="78.75" x14ac:dyDescent="0.3">
      <c r="B26" s="170" t="s">
        <v>38</v>
      </c>
      <c r="C26" s="157">
        <f t="shared" ref="C26:D26" si="5">10*100/100</f>
        <v>10</v>
      </c>
      <c r="D26" s="157">
        <f t="shared" si="5"/>
        <v>10</v>
      </c>
      <c r="E26" s="157">
        <f>10*100/100</f>
        <v>10</v>
      </c>
      <c r="F26" s="146">
        <f>10*100/100</f>
        <v>10</v>
      </c>
      <c r="G26" s="1"/>
    </row>
    <row r="27" spans="2:7" ht="32.25" x14ac:dyDescent="0.3">
      <c r="B27" s="150" t="s">
        <v>6</v>
      </c>
      <c r="C27" s="193" t="s">
        <v>337</v>
      </c>
      <c r="D27" s="157" t="s">
        <v>16</v>
      </c>
      <c r="E27" s="157" t="s">
        <v>16</v>
      </c>
      <c r="F27" s="193" t="s">
        <v>336</v>
      </c>
      <c r="G27" s="1"/>
    </row>
    <row r="28" spans="2:7" ht="18.75" x14ac:dyDescent="0.3">
      <c r="B28" s="150" t="s">
        <v>119</v>
      </c>
      <c r="C28" s="162">
        <f t="shared" ref="C28:E28" si="6">C26*25/100</f>
        <v>2.5</v>
      </c>
      <c r="D28" s="162">
        <f t="shared" si="6"/>
        <v>2.5</v>
      </c>
      <c r="E28" s="162">
        <f t="shared" si="6"/>
        <v>2.5</v>
      </c>
      <c r="F28" s="162">
        <f>F26*25/100</f>
        <v>2.5</v>
      </c>
      <c r="G28" s="1"/>
    </row>
    <row r="29" spans="2:7" ht="18.75" x14ac:dyDescent="0.3">
      <c r="B29" s="171" t="s">
        <v>39</v>
      </c>
      <c r="C29" s="146" t="s">
        <v>67</v>
      </c>
      <c r="D29" s="146" t="s">
        <v>67</v>
      </c>
      <c r="E29" s="146" t="s">
        <v>67</v>
      </c>
      <c r="F29" s="146" t="s">
        <v>67</v>
      </c>
      <c r="G29" s="1"/>
    </row>
    <row r="30" spans="2:7" ht="32.25" x14ac:dyDescent="0.3">
      <c r="B30" s="150" t="s">
        <v>6</v>
      </c>
      <c r="C30" s="172" t="s">
        <v>21</v>
      </c>
      <c r="D30" s="172" t="s">
        <v>21</v>
      </c>
      <c r="E30" s="172" t="s">
        <v>21</v>
      </c>
      <c r="F30" s="172" t="s">
        <v>21</v>
      </c>
      <c r="G30" s="1"/>
    </row>
    <row r="31" spans="2:7" ht="18.75" x14ac:dyDescent="0.3">
      <c r="B31" s="150" t="s">
        <v>119</v>
      </c>
      <c r="C31" s="169">
        <f>0*25/100</f>
        <v>0</v>
      </c>
      <c r="D31" s="169">
        <f t="shared" ref="D31:F31" si="7">0*25/100</f>
        <v>0</v>
      </c>
      <c r="E31" s="169">
        <f t="shared" si="7"/>
        <v>0</v>
      </c>
      <c r="F31" s="169">
        <f t="shared" si="7"/>
        <v>0</v>
      </c>
      <c r="G31" s="1"/>
    </row>
    <row r="32" spans="2:7" ht="78.75" x14ac:dyDescent="0.3">
      <c r="B32" s="151" t="s">
        <v>40</v>
      </c>
      <c r="C32" s="169">
        <v>20</v>
      </c>
      <c r="D32" s="169">
        <f t="shared" ref="D32:F32" si="8">1*20</f>
        <v>20</v>
      </c>
      <c r="E32" s="169">
        <f t="shared" si="8"/>
        <v>20</v>
      </c>
      <c r="F32" s="169">
        <f t="shared" si="8"/>
        <v>20</v>
      </c>
      <c r="G32" s="1"/>
    </row>
    <row r="33" spans="2:7" ht="48" x14ac:dyDescent="0.3">
      <c r="B33" s="150" t="s">
        <v>6</v>
      </c>
      <c r="C33" s="196" t="s">
        <v>84</v>
      </c>
      <c r="D33" s="172" t="s">
        <v>84</v>
      </c>
      <c r="E33" s="172" t="s">
        <v>84</v>
      </c>
      <c r="F33" s="172" t="s">
        <v>84</v>
      </c>
      <c r="G33" s="1"/>
    </row>
    <row r="34" spans="2:7" ht="18.75" x14ac:dyDescent="0.3">
      <c r="B34" s="150" t="s">
        <v>119</v>
      </c>
      <c r="C34" s="169">
        <f>25*C32/100</f>
        <v>5</v>
      </c>
      <c r="D34" s="169">
        <f t="shared" ref="D34:F34" si="9">25*D32/100</f>
        <v>5</v>
      </c>
      <c r="E34" s="169">
        <f t="shared" si="9"/>
        <v>5</v>
      </c>
      <c r="F34" s="169">
        <f t="shared" si="9"/>
        <v>5</v>
      </c>
      <c r="G34" s="1"/>
    </row>
    <row r="35" spans="2:7" ht="78.75" x14ac:dyDescent="0.3">
      <c r="B35" s="155" t="s">
        <v>41</v>
      </c>
      <c r="C35" s="146">
        <f>1*20</f>
        <v>20</v>
      </c>
      <c r="D35" s="146">
        <f t="shared" ref="D35:F35" si="10">1*20</f>
        <v>20</v>
      </c>
      <c r="E35" s="146">
        <f>1*20</f>
        <v>20</v>
      </c>
      <c r="F35" s="146">
        <f t="shared" si="10"/>
        <v>20</v>
      </c>
      <c r="G35" s="1"/>
    </row>
    <row r="36" spans="2:7" ht="48" x14ac:dyDescent="0.3">
      <c r="B36" s="163" t="s">
        <v>6</v>
      </c>
      <c r="C36" s="172" t="s">
        <v>69</v>
      </c>
      <c r="D36" s="172" t="s">
        <v>69</v>
      </c>
      <c r="E36" s="172" t="s">
        <v>69</v>
      </c>
      <c r="F36" s="172" t="s">
        <v>69</v>
      </c>
      <c r="G36" s="1"/>
    </row>
    <row r="37" spans="2:7" ht="18.75" x14ac:dyDescent="0.3">
      <c r="B37" s="150" t="s">
        <v>119</v>
      </c>
      <c r="C37" s="146">
        <f>25*C35/100</f>
        <v>5</v>
      </c>
      <c r="D37" s="146">
        <f t="shared" ref="D37:F37" si="11">25*D35/100</f>
        <v>5</v>
      </c>
      <c r="E37" s="146">
        <f t="shared" si="11"/>
        <v>5</v>
      </c>
      <c r="F37" s="146">
        <f t="shared" si="11"/>
        <v>5</v>
      </c>
      <c r="G37" s="1"/>
    </row>
    <row r="38" spans="2:7" ht="18.75" x14ac:dyDescent="0.3">
      <c r="B38" s="231" t="s">
        <v>122</v>
      </c>
      <c r="C38" s="231"/>
      <c r="D38" s="231"/>
      <c r="E38" s="231"/>
      <c r="F38" s="231"/>
      <c r="G38" s="1"/>
    </row>
    <row r="39" spans="2:7" ht="78.75" x14ac:dyDescent="0.3">
      <c r="B39" s="151" t="s">
        <v>42</v>
      </c>
      <c r="C39" s="174">
        <f t="shared" ref="C39:F39" si="12">1*35</f>
        <v>35</v>
      </c>
      <c r="D39" s="174">
        <f t="shared" si="12"/>
        <v>35</v>
      </c>
      <c r="E39" s="174">
        <f t="shared" si="12"/>
        <v>35</v>
      </c>
      <c r="F39" s="174">
        <f t="shared" si="12"/>
        <v>35</v>
      </c>
      <c r="G39" s="1"/>
    </row>
    <row r="40" spans="2:7" ht="81" customHeight="1" x14ac:dyDescent="0.3">
      <c r="B40" s="150" t="s">
        <v>6</v>
      </c>
      <c r="C40" s="175" t="s">
        <v>70</v>
      </c>
      <c r="D40" s="175" t="s">
        <v>70</v>
      </c>
      <c r="E40" s="175" t="s">
        <v>70</v>
      </c>
      <c r="F40" s="175" t="s">
        <v>70</v>
      </c>
      <c r="G40" s="1"/>
    </row>
    <row r="41" spans="2:7" ht="18.75" x14ac:dyDescent="0.3">
      <c r="B41" s="150" t="s">
        <v>119</v>
      </c>
      <c r="C41" s="174">
        <f>16*C39/100</f>
        <v>5.6</v>
      </c>
      <c r="D41" s="174">
        <f t="shared" ref="D41:F41" si="13">16*D39/100</f>
        <v>5.6</v>
      </c>
      <c r="E41" s="174">
        <f t="shared" si="13"/>
        <v>5.6</v>
      </c>
      <c r="F41" s="174">
        <f t="shared" si="13"/>
        <v>5.6</v>
      </c>
      <c r="G41" s="1"/>
    </row>
    <row r="42" spans="2:7" ht="78.75" x14ac:dyDescent="0.3">
      <c r="B42" s="158" t="s">
        <v>43</v>
      </c>
      <c r="C42" s="176">
        <f>1*35</f>
        <v>35</v>
      </c>
      <c r="D42" s="176">
        <f t="shared" ref="D42:F42" si="14">1*35</f>
        <v>35</v>
      </c>
      <c r="E42" s="176">
        <f t="shared" si="14"/>
        <v>35</v>
      </c>
      <c r="F42" s="176">
        <f t="shared" si="14"/>
        <v>35</v>
      </c>
      <c r="G42" s="1"/>
    </row>
    <row r="43" spans="2:7" ht="48" x14ac:dyDescent="0.3">
      <c r="B43" s="150" t="s">
        <v>6</v>
      </c>
      <c r="C43" s="157" t="s">
        <v>71</v>
      </c>
      <c r="D43" s="157" t="s">
        <v>71</v>
      </c>
      <c r="E43" s="157" t="s">
        <v>71</v>
      </c>
      <c r="F43" s="157" t="s">
        <v>71</v>
      </c>
      <c r="G43" s="1"/>
    </row>
    <row r="44" spans="2:7" ht="18.75" x14ac:dyDescent="0.3">
      <c r="B44" s="150" t="s">
        <v>119</v>
      </c>
      <c r="C44" s="154">
        <f>16*C42/100</f>
        <v>5.6</v>
      </c>
      <c r="D44" s="154">
        <f t="shared" ref="D44:F44" si="15">16*D42/100</f>
        <v>5.6</v>
      </c>
      <c r="E44" s="154">
        <f t="shared" si="15"/>
        <v>5.6</v>
      </c>
      <c r="F44" s="154">
        <f t="shared" si="15"/>
        <v>5.6</v>
      </c>
      <c r="G44" s="1"/>
    </row>
    <row r="45" spans="2:7" ht="78.75" x14ac:dyDescent="0.3">
      <c r="B45" s="155" t="s">
        <v>44</v>
      </c>
      <c r="C45" s="154">
        <f>0*15</f>
        <v>0</v>
      </c>
      <c r="D45" s="154">
        <f t="shared" ref="D45:F45" si="16">0*15</f>
        <v>0</v>
      </c>
      <c r="E45" s="154">
        <f t="shared" si="16"/>
        <v>0</v>
      </c>
      <c r="F45" s="154">
        <f t="shared" si="16"/>
        <v>0</v>
      </c>
      <c r="G45" s="1"/>
    </row>
    <row r="46" spans="2:7" ht="95.25" x14ac:dyDescent="0.3">
      <c r="B46" s="150" t="s">
        <v>6</v>
      </c>
      <c r="C46" s="177" t="s">
        <v>72</v>
      </c>
      <c r="D46" s="157" t="s">
        <v>72</v>
      </c>
      <c r="E46" s="177" t="s">
        <v>72</v>
      </c>
      <c r="F46" s="159" t="s">
        <v>72</v>
      </c>
      <c r="G46" s="1"/>
    </row>
    <row r="47" spans="2:7" ht="18.75" x14ac:dyDescent="0.3">
      <c r="B47" s="150" t="s">
        <v>119</v>
      </c>
      <c r="C47" s="146">
        <f>16*C45/100</f>
        <v>0</v>
      </c>
      <c r="D47" s="146">
        <f t="shared" ref="D47:F47" si="17">16*D45/100</f>
        <v>0</v>
      </c>
      <c r="E47" s="146">
        <f t="shared" si="17"/>
        <v>0</v>
      </c>
      <c r="F47" s="146">
        <f t="shared" si="17"/>
        <v>0</v>
      </c>
      <c r="G47" s="1"/>
    </row>
    <row r="48" spans="2:7" ht="110.25" x14ac:dyDescent="0.3">
      <c r="B48" s="151" t="s">
        <v>45</v>
      </c>
      <c r="C48" s="146">
        <f>1*15</f>
        <v>15</v>
      </c>
      <c r="D48" s="146">
        <f t="shared" ref="D48:F48" si="18">1*15</f>
        <v>15</v>
      </c>
      <c r="E48" s="146">
        <f t="shared" si="18"/>
        <v>15</v>
      </c>
      <c r="F48" s="146">
        <f t="shared" si="18"/>
        <v>15</v>
      </c>
      <c r="G48" s="1"/>
    </row>
    <row r="49" spans="1:7" ht="32.25" x14ac:dyDescent="0.3">
      <c r="B49" s="150" t="s">
        <v>6</v>
      </c>
      <c r="C49" s="157" t="s">
        <v>271</v>
      </c>
      <c r="D49" s="157" t="s">
        <v>73</v>
      </c>
      <c r="E49" s="157" t="s">
        <v>73</v>
      </c>
      <c r="F49" s="157" t="s">
        <v>73</v>
      </c>
      <c r="G49" s="1"/>
    </row>
    <row r="50" spans="1:7" ht="18.75" x14ac:dyDescent="0.3">
      <c r="B50" s="150" t="s">
        <v>119</v>
      </c>
      <c r="C50" s="146">
        <f>16*C48/100</f>
        <v>2.4</v>
      </c>
      <c r="D50" s="146">
        <f t="shared" ref="D50:F50" si="19">16*D48/100</f>
        <v>2.4</v>
      </c>
      <c r="E50" s="146">
        <f t="shared" si="19"/>
        <v>2.4</v>
      </c>
      <c r="F50" s="146">
        <f t="shared" si="19"/>
        <v>2.4</v>
      </c>
      <c r="G50" s="1"/>
    </row>
    <row r="51" spans="1:7" ht="19.5" thickBot="1" x14ac:dyDescent="0.35">
      <c r="B51" s="236" t="s">
        <v>123</v>
      </c>
      <c r="C51" s="234"/>
      <c r="D51" s="234"/>
      <c r="E51" s="234"/>
      <c r="F51" s="235"/>
      <c r="G51" s="1"/>
    </row>
    <row r="52" spans="1:7" s="144" customFormat="1" ht="31.5" x14ac:dyDescent="0.3">
      <c r="B52" s="145" t="s">
        <v>46</v>
      </c>
      <c r="C52" s="146">
        <f>1*10</f>
        <v>10</v>
      </c>
      <c r="D52" s="146">
        <f t="shared" ref="D52:E52" si="20">1*10</f>
        <v>10</v>
      </c>
      <c r="E52" s="146">
        <f t="shared" si="20"/>
        <v>10</v>
      </c>
      <c r="F52" s="146">
        <f>1*10</f>
        <v>10</v>
      </c>
      <c r="G52" s="147"/>
    </row>
    <row r="53" spans="1:7" s="144" customFormat="1" ht="78.75" x14ac:dyDescent="0.3">
      <c r="B53" s="188" t="s">
        <v>6</v>
      </c>
      <c r="C53" s="189" t="s">
        <v>349</v>
      </c>
      <c r="D53" s="189" t="s">
        <v>350</v>
      </c>
      <c r="E53" s="189" t="s">
        <v>350</v>
      </c>
      <c r="F53" s="189" t="s">
        <v>350</v>
      </c>
      <c r="G53" s="147"/>
    </row>
    <row r="54" spans="1:7" s="144" customFormat="1" ht="18.75" x14ac:dyDescent="0.3">
      <c r="B54" s="150" t="s">
        <v>119</v>
      </c>
      <c r="C54" s="146">
        <f>16*C52/100</f>
        <v>1.6</v>
      </c>
      <c r="D54" s="146">
        <f t="shared" ref="D54:F54" si="21">16*D52/100</f>
        <v>1.6</v>
      </c>
      <c r="E54" s="146">
        <f t="shared" si="21"/>
        <v>1.6</v>
      </c>
      <c r="F54" s="146">
        <f t="shared" si="21"/>
        <v>1.6</v>
      </c>
      <c r="G54" s="147"/>
    </row>
    <row r="55" spans="1:7" s="144" customFormat="1" ht="63" x14ac:dyDescent="0.3">
      <c r="A55" s="144" t="s">
        <v>22</v>
      </c>
      <c r="B55" s="151" t="s">
        <v>47</v>
      </c>
      <c r="C55" s="146">
        <v>0</v>
      </c>
      <c r="D55" s="146">
        <f t="shared" ref="D55:E55" si="22">1*60</f>
        <v>60</v>
      </c>
      <c r="E55" s="146">
        <f t="shared" si="22"/>
        <v>60</v>
      </c>
      <c r="F55" s="146">
        <v>0</v>
      </c>
      <c r="G55" s="147"/>
    </row>
    <row r="56" spans="1:7" s="144" customFormat="1" ht="63" x14ac:dyDescent="0.3">
      <c r="B56" s="150" t="s">
        <v>6</v>
      </c>
      <c r="C56" s="152" t="s">
        <v>74</v>
      </c>
      <c r="D56" s="153" t="s">
        <v>235</v>
      </c>
      <c r="E56" s="153" t="s">
        <v>235</v>
      </c>
      <c r="F56" s="152" t="s">
        <v>74</v>
      </c>
      <c r="G56" s="147"/>
    </row>
    <row r="57" spans="1:7" s="144" customFormat="1" ht="18.75" x14ac:dyDescent="0.3">
      <c r="B57" s="150" t="s">
        <v>119</v>
      </c>
      <c r="C57" s="154">
        <f>16*C55/100</f>
        <v>0</v>
      </c>
      <c r="D57" s="154">
        <f t="shared" ref="D57:F57" si="23">16*D55/100</f>
        <v>9.6</v>
      </c>
      <c r="E57" s="154">
        <f t="shared" si="23"/>
        <v>9.6</v>
      </c>
      <c r="F57" s="154">
        <f t="shared" si="23"/>
        <v>0</v>
      </c>
      <c r="G57" s="147"/>
    </row>
    <row r="58" spans="1:7" s="144" customFormat="1" ht="31.5" x14ac:dyDescent="0.3">
      <c r="B58" s="155" t="s">
        <v>48</v>
      </c>
      <c r="C58" s="154">
        <f>1*15</f>
        <v>15</v>
      </c>
      <c r="D58" s="154">
        <f t="shared" ref="D58:F58" si="24">1*15</f>
        <v>15</v>
      </c>
      <c r="E58" s="154">
        <f t="shared" si="24"/>
        <v>15</v>
      </c>
      <c r="F58" s="154">
        <f t="shared" si="24"/>
        <v>15</v>
      </c>
      <c r="G58" s="147"/>
    </row>
    <row r="59" spans="1:7" s="144" customFormat="1" ht="103.5" customHeight="1" x14ac:dyDescent="0.3">
      <c r="B59" s="156" t="s">
        <v>233</v>
      </c>
      <c r="C59" s="152" t="s">
        <v>75</v>
      </c>
      <c r="D59" s="157" t="s">
        <v>75</v>
      </c>
      <c r="E59" s="152" t="s">
        <v>75</v>
      </c>
      <c r="F59" s="152" t="s">
        <v>75</v>
      </c>
      <c r="G59" s="147"/>
    </row>
    <row r="60" spans="1:7" s="144" customFormat="1" ht="18.75" x14ac:dyDescent="0.3">
      <c r="B60" s="150" t="s">
        <v>119</v>
      </c>
      <c r="C60" s="154">
        <f>16*C58/100</f>
        <v>2.4</v>
      </c>
      <c r="D60" s="154">
        <f t="shared" ref="D60:F60" si="25">16*D58/100</f>
        <v>2.4</v>
      </c>
      <c r="E60" s="154">
        <f t="shared" si="25"/>
        <v>2.4</v>
      </c>
      <c r="F60" s="154">
        <f t="shared" si="25"/>
        <v>2.4</v>
      </c>
      <c r="G60" s="147"/>
    </row>
    <row r="61" spans="1:7" s="144" customFormat="1" ht="48" x14ac:dyDescent="0.3">
      <c r="B61" s="159" t="s">
        <v>49</v>
      </c>
      <c r="C61" s="154">
        <f>1*15</f>
        <v>15</v>
      </c>
      <c r="D61" s="154">
        <f t="shared" ref="D61:F61" si="26">1*15</f>
        <v>15</v>
      </c>
      <c r="E61" s="154">
        <f t="shared" si="26"/>
        <v>15</v>
      </c>
      <c r="F61" s="154">
        <f t="shared" si="26"/>
        <v>15</v>
      </c>
      <c r="G61" s="147"/>
    </row>
    <row r="62" spans="1:7" s="144" customFormat="1" ht="95.25" x14ac:dyDescent="0.3">
      <c r="B62" s="156" t="s">
        <v>234</v>
      </c>
      <c r="C62" s="146" t="s">
        <v>76</v>
      </c>
      <c r="D62" s="146" t="s">
        <v>76</v>
      </c>
      <c r="E62" s="146" t="s">
        <v>76</v>
      </c>
      <c r="F62" s="146" t="s">
        <v>76</v>
      </c>
      <c r="G62" s="147"/>
    </row>
    <row r="63" spans="1:7" s="144" customFormat="1" ht="18.75" x14ac:dyDescent="0.3">
      <c r="B63" s="150" t="s">
        <v>119</v>
      </c>
      <c r="C63" s="146">
        <f>16*C61/100</f>
        <v>2.4</v>
      </c>
      <c r="D63" s="146">
        <f t="shared" ref="D63:F63" si="27">16*D61/100</f>
        <v>2.4</v>
      </c>
      <c r="E63" s="146">
        <f t="shared" si="27"/>
        <v>2.4</v>
      </c>
      <c r="F63" s="146">
        <f t="shared" si="27"/>
        <v>2.4</v>
      </c>
      <c r="G63" s="147"/>
    </row>
    <row r="64" spans="1:7" ht="18.75" x14ac:dyDescent="0.3">
      <c r="B64" s="231" t="s">
        <v>124</v>
      </c>
      <c r="C64" s="231"/>
      <c r="D64" s="231"/>
      <c r="E64" s="231"/>
      <c r="F64" s="231"/>
      <c r="G64" s="1"/>
    </row>
    <row r="65" spans="2:7" ht="47.25" x14ac:dyDescent="0.3">
      <c r="B65" s="155" t="s">
        <v>50</v>
      </c>
      <c r="C65" s="146">
        <f>1*50</f>
        <v>50</v>
      </c>
      <c r="D65" s="146">
        <f t="shared" ref="D65:F65" si="28">1*50</f>
        <v>50</v>
      </c>
      <c r="E65" s="146">
        <f t="shared" si="28"/>
        <v>50</v>
      </c>
      <c r="F65" s="146">
        <f t="shared" si="28"/>
        <v>50</v>
      </c>
      <c r="G65" s="1"/>
    </row>
    <row r="66" spans="2:7" ht="48" x14ac:dyDescent="0.3">
      <c r="B66" s="150" t="s">
        <v>6</v>
      </c>
      <c r="C66" s="157" t="s">
        <v>77</v>
      </c>
      <c r="D66" s="149" t="s">
        <v>90</v>
      </c>
      <c r="E66" s="149" t="s">
        <v>90</v>
      </c>
      <c r="F66" s="149" t="s">
        <v>90</v>
      </c>
      <c r="G66" s="1"/>
    </row>
    <row r="67" spans="2:7" ht="18.75" x14ac:dyDescent="0.3">
      <c r="B67" s="150" t="s">
        <v>119</v>
      </c>
      <c r="C67" s="146">
        <f>10*C65/100</f>
        <v>5</v>
      </c>
      <c r="D67" s="146">
        <f t="shared" ref="D67:F67" si="29">10*D65/100</f>
        <v>5</v>
      </c>
      <c r="E67" s="146">
        <f t="shared" si="29"/>
        <v>5</v>
      </c>
      <c r="F67" s="146">
        <f t="shared" si="29"/>
        <v>5</v>
      </c>
      <c r="G67" s="1"/>
    </row>
    <row r="68" spans="2:7" ht="47.25" x14ac:dyDescent="0.3">
      <c r="B68" s="151" t="s">
        <v>51</v>
      </c>
      <c r="C68" s="178">
        <f>1*50</f>
        <v>50</v>
      </c>
      <c r="D68" s="178">
        <f t="shared" ref="D68:F68" si="30">1*50</f>
        <v>50</v>
      </c>
      <c r="E68" s="178">
        <f t="shared" si="30"/>
        <v>50</v>
      </c>
      <c r="F68" s="178">
        <f t="shared" si="30"/>
        <v>50</v>
      </c>
      <c r="G68" s="1"/>
    </row>
    <row r="69" spans="2:7" ht="63.75" x14ac:dyDescent="0.3">
      <c r="B69" s="150" t="s">
        <v>6</v>
      </c>
      <c r="C69" s="157" t="s">
        <v>79</v>
      </c>
      <c r="D69" s="157" t="s">
        <v>79</v>
      </c>
      <c r="E69" s="157" t="s">
        <v>79</v>
      </c>
      <c r="F69" s="157" t="s">
        <v>79</v>
      </c>
      <c r="G69" s="1"/>
    </row>
    <row r="70" spans="2:7" ht="18.75" x14ac:dyDescent="0.3">
      <c r="B70" s="150" t="s">
        <v>119</v>
      </c>
      <c r="C70" s="146">
        <f>10*C68/100</f>
        <v>5</v>
      </c>
      <c r="D70" s="146">
        <f t="shared" ref="D70:F70" si="31">10*D68/100</f>
        <v>5</v>
      </c>
      <c r="E70" s="146">
        <f t="shared" si="31"/>
        <v>5</v>
      </c>
      <c r="F70" s="146">
        <f t="shared" si="31"/>
        <v>5</v>
      </c>
      <c r="G70" s="1"/>
    </row>
    <row r="71" spans="2:7" ht="18.75" x14ac:dyDescent="0.3">
      <c r="B71" s="231" t="s">
        <v>125</v>
      </c>
      <c r="C71" s="231"/>
      <c r="D71" s="231"/>
      <c r="E71" s="231"/>
      <c r="F71" s="231"/>
      <c r="G71" s="1"/>
    </row>
    <row r="72" spans="2:7" ht="94.5" x14ac:dyDescent="0.3">
      <c r="B72" s="155" t="s">
        <v>52</v>
      </c>
      <c r="C72" s="146">
        <f>1*50</f>
        <v>50</v>
      </c>
      <c r="D72" s="146">
        <f t="shared" ref="D72:F72" si="32">1*50</f>
        <v>50</v>
      </c>
      <c r="E72" s="146">
        <f t="shared" si="32"/>
        <v>50</v>
      </c>
      <c r="F72" s="146">
        <f t="shared" si="32"/>
        <v>50</v>
      </c>
      <c r="G72" s="1"/>
    </row>
    <row r="73" spans="2:7" ht="54" customHeight="1" x14ac:dyDescent="0.3">
      <c r="B73" s="150" t="s">
        <v>6</v>
      </c>
      <c r="C73" s="179" t="s">
        <v>78</v>
      </c>
      <c r="D73" s="149" t="s">
        <v>78</v>
      </c>
      <c r="E73" s="179" t="s">
        <v>78</v>
      </c>
      <c r="F73" s="180" t="s">
        <v>78</v>
      </c>
      <c r="G73" s="1"/>
    </row>
    <row r="74" spans="2:7" ht="18.75" x14ac:dyDescent="0.3">
      <c r="B74" s="150" t="s">
        <v>119</v>
      </c>
      <c r="C74" s="146">
        <f>8*C72/100</f>
        <v>4</v>
      </c>
      <c r="D74" s="146">
        <f t="shared" ref="D74:F74" si="33">8*D72/100</f>
        <v>4</v>
      </c>
      <c r="E74" s="146">
        <f t="shared" si="33"/>
        <v>4</v>
      </c>
      <c r="F74" s="146">
        <f t="shared" si="33"/>
        <v>4</v>
      </c>
      <c r="G74" s="1"/>
    </row>
    <row r="75" spans="2:7" ht="126" x14ac:dyDescent="0.3">
      <c r="B75" s="155" t="s">
        <v>53</v>
      </c>
      <c r="C75" s="146">
        <f>1*50</f>
        <v>50</v>
      </c>
      <c r="D75" s="146">
        <f t="shared" ref="D75:E75" si="34">1*50</f>
        <v>50</v>
      </c>
      <c r="E75" s="146">
        <f t="shared" si="34"/>
        <v>50</v>
      </c>
      <c r="F75" s="146">
        <f>1*50</f>
        <v>50</v>
      </c>
      <c r="G75" s="1"/>
    </row>
    <row r="76" spans="2:7" ht="47.25" x14ac:dyDescent="0.3">
      <c r="B76" s="150" t="s">
        <v>6</v>
      </c>
      <c r="C76" s="179" t="s">
        <v>78</v>
      </c>
      <c r="D76" s="149" t="s">
        <v>78</v>
      </c>
      <c r="E76" s="179" t="s">
        <v>78</v>
      </c>
      <c r="F76" s="149" t="s">
        <v>101</v>
      </c>
      <c r="G76" s="1"/>
    </row>
    <row r="77" spans="2:7" ht="18.75" x14ac:dyDescent="0.3">
      <c r="B77" s="150" t="s">
        <v>119</v>
      </c>
      <c r="C77" s="146">
        <f>8*C75/100</f>
        <v>4</v>
      </c>
      <c r="D77" s="146">
        <f t="shared" ref="D77:F77" si="35">8*D75/100</f>
        <v>4</v>
      </c>
      <c r="E77" s="146">
        <f t="shared" si="35"/>
        <v>4</v>
      </c>
      <c r="F77" s="146">
        <f t="shared" si="35"/>
        <v>4</v>
      </c>
      <c r="G77" s="1"/>
    </row>
    <row r="78" spans="2:7" ht="33.75" x14ac:dyDescent="0.3">
      <c r="B78" s="197" t="s">
        <v>58</v>
      </c>
      <c r="C78" s="198">
        <f>C6+C9+C12+C15+C18+C22+C25+C28+C31+C34+C37+C41+C44+C47+C50+C54+C57+C60+C63+C67+C70+C74+C77</f>
        <v>82.334999999999994</v>
      </c>
      <c r="D78" s="198">
        <f t="shared" ref="D78:F78" si="36">D6+D9+D12+D15+D18+D22+D25+D28+D31+D34+D37+D41+D44+D47+D50+D54+D57+D60+D63+D67+D70+D74+D77</f>
        <v>87.245000000000005</v>
      </c>
      <c r="E78" s="198">
        <f t="shared" si="36"/>
        <v>87.535000000000011</v>
      </c>
      <c r="F78" s="198">
        <f t="shared" si="36"/>
        <v>82.81</v>
      </c>
      <c r="G78" s="1"/>
    </row>
    <row r="79" spans="2:7" ht="18.75" x14ac:dyDescent="0.3">
      <c r="B79" s="199" t="s">
        <v>55</v>
      </c>
      <c r="C79" s="200" t="s">
        <v>200</v>
      </c>
      <c r="D79" s="200" t="s">
        <v>240</v>
      </c>
      <c r="E79" s="200" t="s">
        <v>189</v>
      </c>
      <c r="F79" s="200" t="s">
        <v>241</v>
      </c>
      <c r="G79" s="1"/>
    </row>
    <row r="80" spans="2:7" ht="33.75" x14ac:dyDescent="0.3">
      <c r="B80" s="197" t="s">
        <v>54</v>
      </c>
      <c r="C80" s="243">
        <f>(C78+D78+E78++F78)/4</f>
        <v>84.981250000000003</v>
      </c>
      <c r="D80" s="244"/>
      <c r="E80" s="244"/>
      <c r="F80" s="245"/>
      <c r="G80" s="1"/>
    </row>
    <row r="81" spans="2:7" ht="93.75" x14ac:dyDescent="0.3">
      <c r="B81" s="201" t="s">
        <v>57</v>
      </c>
      <c r="C81" s="202">
        <f>100-C78</f>
        <v>17.665000000000006</v>
      </c>
      <c r="D81" s="202">
        <f t="shared" ref="D81:F81" si="37">100-D78</f>
        <v>12.754999999999995</v>
      </c>
      <c r="E81" s="202">
        <f t="shared" si="37"/>
        <v>12.464999999999989</v>
      </c>
      <c r="F81" s="202">
        <f t="shared" si="37"/>
        <v>17.189999999999998</v>
      </c>
      <c r="G81" s="1"/>
    </row>
    <row r="82" spans="2:7" ht="63" x14ac:dyDescent="0.25">
      <c r="B82" s="197" t="s">
        <v>61</v>
      </c>
      <c r="C82" s="203" t="s">
        <v>115</v>
      </c>
      <c r="D82" s="203" t="s">
        <v>115</v>
      </c>
      <c r="E82" s="203" t="s">
        <v>115</v>
      </c>
      <c r="F82" s="203" t="s">
        <v>115</v>
      </c>
    </row>
    <row r="84" spans="2:7" ht="18.75" x14ac:dyDescent="0.3">
      <c r="B84" s="108"/>
      <c r="C84" s="108"/>
      <c r="D84" s="108"/>
      <c r="E84" s="108"/>
      <c r="F84" s="108"/>
    </row>
    <row r="85" spans="2:7" ht="18.75" x14ac:dyDescent="0.3">
      <c r="B85" s="108" t="s">
        <v>274</v>
      </c>
      <c r="C85" s="108"/>
      <c r="D85" s="108"/>
      <c r="E85" s="108"/>
      <c r="F85" s="108" t="s">
        <v>118</v>
      </c>
    </row>
    <row r="87" spans="2:7" ht="16.5" x14ac:dyDescent="0.25">
      <c r="B87" s="71" t="s">
        <v>285</v>
      </c>
    </row>
  </sheetData>
  <mergeCells count="8">
    <mergeCell ref="B71:F71"/>
    <mergeCell ref="C80:F80"/>
    <mergeCell ref="B1:F1"/>
    <mergeCell ref="B3:F3"/>
    <mergeCell ref="B19:F19"/>
    <mergeCell ref="B38:F38"/>
    <mergeCell ref="B51:F51"/>
    <mergeCell ref="B64:F64"/>
  </mergeCells>
  <pageMargins left="0.35433070866141736" right="0" top="0.59055118110236227" bottom="0.59055118110236227" header="0.51181102362204722" footer="0.51181102362204722"/>
  <pageSetup paperSize="9" scale="95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view="pageBreakPreview" topLeftCell="A10" zoomScale="85" zoomScaleNormal="100" zoomScaleSheetLayoutView="85" workbookViewId="0">
      <selection activeCell="E21" sqref="E21"/>
    </sheetView>
  </sheetViews>
  <sheetFormatPr defaultRowHeight="15" x14ac:dyDescent="0.25"/>
  <cols>
    <col min="1" max="1" width="1.5703125" customWidth="1"/>
    <col min="2" max="2" width="41.7109375" customWidth="1"/>
    <col min="3" max="3" width="26.5703125" customWidth="1"/>
    <col min="4" max="4" width="24.85546875" customWidth="1"/>
    <col min="5" max="5" width="25.28515625" customWidth="1"/>
    <col min="6" max="6" width="25.42578125" customWidth="1"/>
  </cols>
  <sheetData>
    <row r="1" spans="2:7" ht="18.75" x14ac:dyDescent="0.3">
      <c r="B1" s="10"/>
      <c r="C1" s="10"/>
      <c r="D1" s="10"/>
      <c r="E1" s="10"/>
      <c r="F1" s="10"/>
      <c r="G1" s="1"/>
    </row>
    <row r="2" spans="2:7" ht="62.25" customHeight="1" x14ac:dyDescent="0.3">
      <c r="B2" s="214" t="s">
        <v>351</v>
      </c>
      <c r="C2" s="214"/>
      <c r="D2" s="214"/>
      <c r="E2" s="214"/>
      <c r="F2" s="214"/>
      <c r="G2" s="1"/>
    </row>
    <row r="3" spans="2:7" ht="32.2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5</v>
      </c>
      <c r="G3" s="1"/>
    </row>
    <row r="4" spans="2:7" ht="31.5" x14ac:dyDescent="0.3">
      <c r="B4" s="143" t="s">
        <v>249</v>
      </c>
      <c r="C4" s="134">
        <v>0</v>
      </c>
      <c r="D4" s="134">
        <v>1</v>
      </c>
      <c r="E4" s="134">
        <v>1</v>
      </c>
      <c r="F4" s="134">
        <v>0</v>
      </c>
      <c r="G4" s="1"/>
    </row>
    <row r="5" spans="2:7" ht="18.75" x14ac:dyDescent="0.3">
      <c r="B5" s="12" t="s">
        <v>6</v>
      </c>
      <c r="C5" s="135" t="s">
        <v>128</v>
      </c>
      <c r="D5" s="136">
        <v>0</v>
      </c>
      <c r="E5" s="136">
        <v>0</v>
      </c>
      <c r="F5" s="135" t="s">
        <v>128</v>
      </c>
      <c r="G5" s="1"/>
    </row>
    <row r="6" spans="2:7" ht="18.75" x14ac:dyDescent="0.3">
      <c r="B6" s="12" t="s">
        <v>26</v>
      </c>
      <c r="C6" s="136">
        <v>0</v>
      </c>
      <c r="D6" s="136">
        <v>25</v>
      </c>
      <c r="E6" s="136">
        <v>25</v>
      </c>
      <c r="F6" s="136">
        <v>0</v>
      </c>
      <c r="G6" s="1"/>
    </row>
    <row r="7" spans="2:7" ht="63" x14ac:dyDescent="0.3">
      <c r="B7" s="155" t="s">
        <v>30</v>
      </c>
      <c r="C7" s="137">
        <v>1</v>
      </c>
      <c r="D7" s="136">
        <v>1</v>
      </c>
      <c r="E7" s="136">
        <v>1</v>
      </c>
      <c r="F7" s="136">
        <v>1</v>
      </c>
      <c r="G7" s="1"/>
    </row>
    <row r="8" spans="2:7" ht="71.25" customHeight="1" x14ac:dyDescent="0.3">
      <c r="B8" s="150" t="s">
        <v>6</v>
      </c>
      <c r="C8" s="237" t="s">
        <v>63</v>
      </c>
      <c r="D8" s="238"/>
      <c r="E8" s="238"/>
      <c r="F8" s="239"/>
      <c r="G8" s="1"/>
    </row>
    <row r="9" spans="2:7" ht="18.75" x14ac:dyDescent="0.3">
      <c r="B9" s="150" t="s">
        <v>26</v>
      </c>
      <c r="C9" s="135">
        <v>25</v>
      </c>
      <c r="D9" s="136">
        <v>25</v>
      </c>
      <c r="E9" s="136">
        <v>25</v>
      </c>
      <c r="F9" s="136">
        <v>25</v>
      </c>
      <c r="G9" s="1"/>
    </row>
    <row r="10" spans="2:7" ht="63.75" x14ac:dyDescent="0.3">
      <c r="B10" s="159" t="s">
        <v>29</v>
      </c>
      <c r="C10" s="135">
        <v>1</v>
      </c>
      <c r="D10" s="136">
        <v>1</v>
      </c>
      <c r="E10" s="136">
        <v>1</v>
      </c>
      <c r="F10" s="136">
        <v>1</v>
      </c>
      <c r="G10" s="1"/>
    </row>
    <row r="11" spans="2:7" ht="18.75" x14ac:dyDescent="0.3">
      <c r="B11" s="150" t="s">
        <v>6</v>
      </c>
      <c r="C11" s="135" t="s">
        <v>64</v>
      </c>
      <c r="D11" s="139"/>
      <c r="E11" s="139"/>
      <c r="F11" s="139"/>
      <c r="G11" s="1"/>
    </row>
    <row r="12" spans="2:7" ht="18.75" x14ac:dyDescent="0.3">
      <c r="B12" s="150" t="s">
        <v>26</v>
      </c>
      <c r="C12" s="135">
        <v>20</v>
      </c>
      <c r="D12" s="136">
        <v>20</v>
      </c>
      <c r="E12" s="136">
        <v>20</v>
      </c>
      <c r="F12" s="136">
        <v>20</v>
      </c>
      <c r="G12" s="1"/>
    </row>
    <row r="13" spans="2:7" ht="79.5" x14ac:dyDescent="0.3">
      <c r="B13" s="159" t="s">
        <v>28</v>
      </c>
      <c r="C13" s="140">
        <v>1</v>
      </c>
      <c r="D13" s="140">
        <v>1</v>
      </c>
      <c r="E13" s="140">
        <v>1</v>
      </c>
      <c r="F13" s="140">
        <v>1</v>
      </c>
      <c r="G13" s="1"/>
    </row>
    <row r="14" spans="2:7" ht="51.75" x14ac:dyDescent="0.3">
      <c r="B14" s="12" t="s">
        <v>6</v>
      </c>
      <c r="C14" s="141" t="s">
        <v>59</v>
      </c>
      <c r="D14" s="142" t="s">
        <v>59</v>
      </c>
      <c r="E14" s="142" t="s">
        <v>59</v>
      </c>
      <c r="F14" s="141" t="s">
        <v>59</v>
      </c>
      <c r="G14" s="1"/>
    </row>
    <row r="15" spans="2:7" ht="18.75" x14ac:dyDescent="0.3">
      <c r="B15" s="12" t="s">
        <v>26</v>
      </c>
      <c r="C15" s="134">
        <f>30*1</f>
        <v>30</v>
      </c>
      <c r="D15" s="134">
        <f t="shared" ref="D15:F15" si="0">30*1</f>
        <v>30</v>
      </c>
      <c r="E15" s="134">
        <f t="shared" si="0"/>
        <v>30</v>
      </c>
      <c r="F15" s="134">
        <f t="shared" si="0"/>
        <v>30</v>
      </c>
      <c r="G15" s="1"/>
    </row>
    <row r="16" spans="2:7" ht="30" customHeight="1" x14ac:dyDescent="0.3">
      <c r="B16" s="53" t="s">
        <v>58</v>
      </c>
      <c r="C16" s="39">
        <f>C6+C9+C12+C15</f>
        <v>75</v>
      </c>
      <c r="D16" s="39">
        <f t="shared" ref="D16:F16" si="1">D6+D9+D12+D15</f>
        <v>100</v>
      </c>
      <c r="E16" s="39">
        <f t="shared" si="1"/>
        <v>100</v>
      </c>
      <c r="F16" s="39">
        <f t="shared" si="1"/>
        <v>75</v>
      </c>
      <c r="G16" s="1"/>
    </row>
    <row r="17" spans="2:7" ht="18.75" x14ac:dyDescent="0.3">
      <c r="B17" s="37" t="s">
        <v>55</v>
      </c>
      <c r="C17" s="40" t="s">
        <v>245</v>
      </c>
      <c r="D17" s="40" t="s">
        <v>244</v>
      </c>
      <c r="E17" s="40" t="s">
        <v>244</v>
      </c>
      <c r="F17" s="40" t="s">
        <v>245</v>
      </c>
      <c r="G17" s="1"/>
    </row>
    <row r="18" spans="2:7" ht="33.75" x14ac:dyDescent="0.3">
      <c r="B18" s="53" t="s">
        <v>54</v>
      </c>
      <c r="C18" s="215">
        <f>(C16+D16+E16+F16)/4</f>
        <v>87.5</v>
      </c>
      <c r="D18" s="216"/>
      <c r="E18" s="216"/>
      <c r="F18" s="217"/>
      <c r="G18" s="1"/>
    </row>
    <row r="19" spans="2:7" ht="93.75" x14ac:dyDescent="0.3">
      <c r="B19" s="38" t="s">
        <v>57</v>
      </c>
      <c r="C19" s="48">
        <f>100-C16</f>
        <v>25</v>
      </c>
      <c r="D19" s="48">
        <f t="shared" ref="D19:F19" si="2">100-D16</f>
        <v>0</v>
      </c>
      <c r="E19" s="48">
        <f t="shared" si="2"/>
        <v>0</v>
      </c>
      <c r="F19" s="48">
        <f t="shared" si="2"/>
        <v>25</v>
      </c>
      <c r="G19" s="1"/>
    </row>
    <row r="20" spans="2:7" ht="69" customHeight="1" x14ac:dyDescent="0.3">
      <c r="B20" s="54" t="s">
        <v>61</v>
      </c>
      <c r="C20" s="44" t="s">
        <v>60</v>
      </c>
      <c r="D20" s="44" t="s">
        <v>247</v>
      </c>
      <c r="E20" s="44" t="s">
        <v>247</v>
      </c>
      <c r="F20" s="44" t="s">
        <v>60</v>
      </c>
      <c r="G20" s="1"/>
    </row>
    <row r="21" spans="2:7" ht="18.75" x14ac:dyDescent="0.3">
      <c r="B21" s="1"/>
    </row>
    <row r="22" spans="2:7" ht="16.5" x14ac:dyDescent="0.25">
      <c r="B22" s="71" t="s">
        <v>274</v>
      </c>
      <c r="C22" s="71"/>
      <c r="D22" s="71"/>
      <c r="E22" s="71"/>
      <c r="F22" s="71" t="s">
        <v>118</v>
      </c>
    </row>
    <row r="23" spans="2:7" ht="16.5" x14ac:dyDescent="0.25">
      <c r="B23" s="71"/>
      <c r="C23" s="71"/>
      <c r="D23" s="71"/>
      <c r="E23" s="71"/>
      <c r="F23" s="71"/>
    </row>
    <row r="24" spans="2:7" ht="16.5" x14ac:dyDescent="0.25">
      <c r="B24" s="71" t="s">
        <v>185</v>
      </c>
      <c r="C24" s="71"/>
      <c r="D24" s="71"/>
      <c r="E24" s="71"/>
      <c r="F24" s="71"/>
    </row>
  </sheetData>
  <mergeCells count="3">
    <mergeCell ref="B2:F2"/>
    <mergeCell ref="C8:F8"/>
    <mergeCell ref="C18:F18"/>
  </mergeCells>
  <pageMargins left="0.35433070866141736" right="0.15748031496062992" top="0.78740157480314965" bottom="0.59055118110236227" header="0.51181102362204722" footer="0.51181102362204722"/>
  <pageSetup paperSize="9" scale="97" fitToHeight="2" orientation="landscape" r:id="rId1"/>
  <rowBreaks count="1" manualBreakCount="1">
    <brk id="13" max="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view="pageBreakPreview" zoomScale="85" zoomScaleNormal="100" zoomScaleSheetLayoutView="85" workbookViewId="0">
      <selection activeCell="D20" sqref="D20"/>
    </sheetView>
  </sheetViews>
  <sheetFormatPr defaultRowHeight="15" x14ac:dyDescent="0.25"/>
  <cols>
    <col min="1" max="1" width="1.5703125" customWidth="1"/>
    <col min="2" max="2" width="41.7109375" customWidth="1"/>
    <col min="3" max="3" width="26.5703125" customWidth="1"/>
    <col min="4" max="4" width="24.85546875" customWidth="1"/>
    <col min="5" max="5" width="25.28515625" customWidth="1"/>
    <col min="6" max="6" width="25.42578125" customWidth="1"/>
  </cols>
  <sheetData>
    <row r="1" spans="2:7" ht="18.75" x14ac:dyDescent="0.3">
      <c r="B1" s="10"/>
      <c r="C1" s="10"/>
      <c r="D1" s="10"/>
      <c r="E1" s="10"/>
      <c r="F1" s="10"/>
      <c r="G1" s="1"/>
    </row>
    <row r="2" spans="2:7" ht="62.25" customHeight="1" x14ac:dyDescent="0.3">
      <c r="B2" s="214" t="s">
        <v>352</v>
      </c>
      <c r="C2" s="214"/>
      <c r="D2" s="214"/>
      <c r="E2" s="214"/>
      <c r="F2" s="214"/>
      <c r="G2" s="1"/>
    </row>
    <row r="3" spans="2:7" ht="32.2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5</v>
      </c>
      <c r="G3" s="1"/>
    </row>
    <row r="4" spans="2:7" ht="31.5" x14ac:dyDescent="0.3">
      <c r="B4" s="143" t="s">
        <v>249</v>
      </c>
      <c r="C4" s="134">
        <v>0</v>
      </c>
      <c r="D4" s="134">
        <v>0.5</v>
      </c>
      <c r="E4" s="134">
        <v>1</v>
      </c>
      <c r="F4" s="134">
        <v>0</v>
      </c>
      <c r="G4" s="1"/>
    </row>
    <row r="5" spans="2:7" ht="18.75" x14ac:dyDescent="0.3">
      <c r="B5" s="12" t="s">
        <v>6</v>
      </c>
      <c r="C5" s="135" t="s">
        <v>128</v>
      </c>
      <c r="D5" s="136">
        <v>1</v>
      </c>
      <c r="E5" s="136">
        <v>0</v>
      </c>
      <c r="F5" s="135" t="s">
        <v>128</v>
      </c>
      <c r="G5" s="1"/>
    </row>
    <row r="6" spans="2:7" ht="18.75" x14ac:dyDescent="0.3">
      <c r="B6" s="12" t="s">
        <v>26</v>
      </c>
      <c r="C6" s="136">
        <v>0</v>
      </c>
      <c r="D6" s="136">
        <v>12.5</v>
      </c>
      <c r="E6" s="136">
        <v>25</v>
      </c>
      <c r="F6" s="136">
        <v>0</v>
      </c>
      <c r="G6" s="1"/>
    </row>
    <row r="7" spans="2:7" ht="63" x14ac:dyDescent="0.3">
      <c r="B7" s="155" t="s">
        <v>30</v>
      </c>
      <c r="C7" s="137">
        <v>1</v>
      </c>
      <c r="D7" s="136">
        <v>1</v>
      </c>
      <c r="E7" s="136">
        <v>1</v>
      </c>
      <c r="F7" s="136">
        <v>1</v>
      </c>
      <c r="G7" s="1"/>
    </row>
    <row r="8" spans="2:7" ht="71.25" customHeight="1" x14ac:dyDescent="0.3">
      <c r="B8" s="150" t="s">
        <v>6</v>
      </c>
      <c r="C8" s="237" t="s">
        <v>63</v>
      </c>
      <c r="D8" s="238"/>
      <c r="E8" s="238"/>
      <c r="F8" s="239"/>
      <c r="G8" s="1"/>
    </row>
    <row r="9" spans="2:7" ht="18.75" x14ac:dyDescent="0.3">
      <c r="B9" s="150" t="s">
        <v>26</v>
      </c>
      <c r="C9" s="135">
        <v>25</v>
      </c>
      <c r="D9" s="136">
        <v>25</v>
      </c>
      <c r="E9" s="136">
        <v>25</v>
      </c>
      <c r="F9" s="136">
        <v>25</v>
      </c>
      <c r="G9" s="1"/>
    </row>
    <row r="10" spans="2:7" ht="63.75" x14ac:dyDescent="0.3">
      <c r="B10" s="159" t="s">
        <v>29</v>
      </c>
      <c r="C10" s="135">
        <v>1</v>
      </c>
      <c r="D10" s="136">
        <v>1</v>
      </c>
      <c r="E10" s="136">
        <v>1</v>
      </c>
      <c r="F10" s="136">
        <v>1</v>
      </c>
      <c r="G10" s="1"/>
    </row>
    <row r="11" spans="2:7" ht="18.75" x14ac:dyDescent="0.3">
      <c r="B11" s="150" t="s">
        <v>6</v>
      </c>
      <c r="C11" s="135" t="s">
        <v>64</v>
      </c>
      <c r="D11" s="139"/>
      <c r="E11" s="139"/>
      <c r="F11" s="139"/>
      <c r="G11" s="1"/>
    </row>
    <row r="12" spans="2:7" ht="18.75" x14ac:dyDescent="0.3">
      <c r="B12" s="150" t="s">
        <v>26</v>
      </c>
      <c r="C12" s="135">
        <v>20</v>
      </c>
      <c r="D12" s="136">
        <v>20</v>
      </c>
      <c r="E12" s="136">
        <v>20</v>
      </c>
      <c r="F12" s="136">
        <v>20</v>
      </c>
      <c r="G12" s="1"/>
    </row>
    <row r="13" spans="2:7" ht="79.5" x14ac:dyDescent="0.3">
      <c r="B13" s="159" t="s">
        <v>28</v>
      </c>
      <c r="C13" s="140">
        <v>1</v>
      </c>
      <c r="D13" s="140">
        <v>1</v>
      </c>
      <c r="E13" s="140">
        <v>1</v>
      </c>
      <c r="F13" s="140">
        <v>1</v>
      </c>
      <c r="G13" s="1"/>
    </row>
    <row r="14" spans="2:7" ht="51.75" x14ac:dyDescent="0.3">
      <c r="B14" s="12" t="s">
        <v>6</v>
      </c>
      <c r="C14" s="141" t="s">
        <v>59</v>
      </c>
      <c r="D14" s="142" t="s">
        <v>59</v>
      </c>
      <c r="E14" s="142" t="s">
        <v>59</v>
      </c>
      <c r="F14" s="141" t="s">
        <v>59</v>
      </c>
      <c r="G14" s="1"/>
    </row>
    <row r="15" spans="2:7" ht="18.75" x14ac:dyDescent="0.3">
      <c r="B15" s="12" t="s">
        <v>26</v>
      </c>
      <c r="C15" s="134">
        <f>30*1</f>
        <v>30</v>
      </c>
      <c r="D15" s="134">
        <f t="shared" ref="D15:F15" si="0">30*1</f>
        <v>30</v>
      </c>
      <c r="E15" s="134">
        <f t="shared" si="0"/>
        <v>30</v>
      </c>
      <c r="F15" s="134">
        <f t="shared" si="0"/>
        <v>30</v>
      </c>
      <c r="G15" s="1"/>
    </row>
    <row r="16" spans="2:7" ht="30" customHeight="1" x14ac:dyDescent="0.3">
      <c r="B16" s="53" t="s">
        <v>58</v>
      </c>
      <c r="C16" s="39">
        <f>C6+C9+C12+C15</f>
        <v>75</v>
      </c>
      <c r="D16" s="39">
        <f t="shared" ref="D16:F16" si="1">D6+D9+D12+D15</f>
        <v>87.5</v>
      </c>
      <c r="E16" s="39">
        <f t="shared" si="1"/>
        <v>100</v>
      </c>
      <c r="F16" s="39">
        <f t="shared" si="1"/>
        <v>75</v>
      </c>
      <c r="G16" s="1"/>
    </row>
    <row r="17" spans="2:7" ht="18.75" x14ac:dyDescent="0.3">
      <c r="B17" s="37" t="s">
        <v>55</v>
      </c>
      <c r="C17" s="40" t="s">
        <v>245</v>
      </c>
      <c r="D17" s="40" t="s">
        <v>244</v>
      </c>
      <c r="E17" s="40" t="s">
        <v>244</v>
      </c>
      <c r="F17" s="40" t="s">
        <v>245</v>
      </c>
      <c r="G17" s="1"/>
    </row>
    <row r="18" spans="2:7" ht="33.75" x14ac:dyDescent="0.3">
      <c r="B18" s="53" t="s">
        <v>54</v>
      </c>
      <c r="C18" s="215">
        <f>(C16+D16+E16+F16)/4</f>
        <v>84.375</v>
      </c>
      <c r="D18" s="216"/>
      <c r="E18" s="216"/>
      <c r="F18" s="217"/>
      <c r="G18" s="1"/>
    </row>
    <row r="19" spans="2:7" ht="93.75" x14ac:dyDescent="0.3">
      <c r="B19" s="38" t="s">
        <v>57</v>
      </c>
      <c r="C19" s="48">
        <f>100-C16</f>
        <v>25</v>
      </c>
      <c r="D19" s="48">
        <f t="shared" ref="D19:F19" si="2">100-D16</f>
        <v>12.5</v>
      </c>
      <c r="E19" s="48">
        <f t="shared" si="2"/>
        <v>0</v>
      </c>
      <c r="F19" s="48">
        <f t="shared" si="2"/>
        <v>25</v>
      </c>
      <c r="G19" s="1"/>
    </row>
    <row r="20" spans="2:7" ht="69" customHeight="1" x14ac:dyDescent="0.3">
      <c r="B20" s="54" t="s">
        <v>61</v>
      </c>
      <c r="C20" s="44" t="s">
        <v>60</v>
      </c>
      <c r="D20" s="44" t="s">
        <v>60</v>
      </c>
      <c r="E20" s="44" t="s">
        <v>247</v>
      </c>
      <c r="F20" s="44" t="s">
        <v>60</v>
      </c>
      <c r="G20" s="1"/>
    </row>
    <row r="21" spans="2:7" ht="18.75" x14ac:dyDescent="0.3">
      <c r="B21" s="1"/>
    </row>
    <row r="22" spans="2:7" ht="16.5" x14ac:dyDescent="0.25">
      <c r="B22" s="71" t="s">
        <v>274</v>
      </c>
      <c r="C22" s="71"/>
      <c r="D22" s="71"/>
      <c r="E22" s="71"/>
      <c r="F22" s="71" t="s">
        <v>118</v>
      </c>
    </row>
    <row r="23" spans="2:7" ht="16.5" x14ac:dyDescent="0.25">
      <c r="B23" s="71"/>
      <c r="C23" s="71"/>
      <c r="D23" s="71"/>
      <c r="E23" s="71"/>
      <c r="F23" s="71"/>
    </row>
    <row r="24" spans="2:7" ht="16.5" x14ac:dyDescent="0.25">
      <c r="B24" s="71" t="s">
        <v>185</v>
      </c>
      <c r="C24" s="71"/>
      <c r="D24" s="71"/>
      <c r="E24" s="71"/>
      <c r="F24" s="71"/>
    </row>
  </sheetData>
  <mergeCells count="3">
    <mergeCell ref="B2:F2"/>
    <mergeCell ref="C8:F8"/>
    <mergeCell ref="C18:F18"/>
  </mergeCells>
  <pageMargins left="0.35433070866141736" right="0.15748031496062992" top="0.78740157480314965" bottom="0.59055118110236227" header="0.51181102362204722" footer="0.51181102362204722"/>
  <pageSetup paperSize="9" scale="97" fitToHeight="2" orientation="landscape" r:id="rId1"/>
  <rowBreaks count="1" manualBreakCount="1">
    <brk id="13" max="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view="pageBreakPreview" topLeftCell="A13" zoomScale="85" zoomScaleNormal="100" zoomScaleSheetLayoutView="85" workbookViewId="0">
      <selection activeCell="D20" sqref="D20"/>
    </sheetView>
  </sheetViews>
  <sheetFormatPr defaultRowHeight="15" x14ac:dyDescent="0.25"/>
  <cols>
    <col min="1" max="1" width="1.5703125" customWidth="1"/>
    <col min="2" max="2" width="41.7109375" customWidth="1"/>
    <col min="3" max="3" width="26.5703125" customWidth="1"/>
    <col min="4" max="4" width="24.85546875" customWidth="1"/>
    <col min="5" max="5" width="25.28515625" customWidth="1"/>
    <col min="6" max="6" width="25.42578125" customWidth="1"/>
  </cols>
  <sheetData>
    <row r="1" spans="2:7" ht="18.75" x14ac:dyDescent="0.3">
      <c r="B1" s="10"/>
      <c r="C1" s="10"/>
      <c r="D1" s="10"/>
      <c r="E1" s="10"/>
      <c r="F1" s="10"/>
      <c r="G1" s="1"/>
    </row>
    <row r="2" spans="2:7" ht="62.25" customHeight="1" x14ac:dyDescent="0.3">
      <c r="B2" s="214" t="s">
        <v>353</v>
      </c>
      <c r="C2" s="214"/>
      <c r="D2" s="214"/>
      <c r="E2" s="214"/>
      <c r="F2" s="214"/>
      <c r="G2" s="1"/>
    </row>
    <row r="3" spans="2:7" ht="32.2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5</v>
      </c>
      <c r="G3" s="1"/>
    </row>
    <row r="4" spans="2:7" ht="31.5" x14ac:dyDescent="0.3">
      <c r="B4" s="143" t="s">
        <v>249</v>
      </c>
      <c r="C4" s="134">
        <v>0</v>
      </c>
      <c r="D4" s="134">
        <v>1</v>
      </c>
      <c r="E4" s="134">
        <v>1</v>
      </c>
      <c r="F4" s="134">
        <v>0</v>
      </c>
      <c r="G4" s="1"/>
    </row>
    <row r="5" spans="2:7" ht="18.75" x14ac:dyDescent="0.3">
      <c r="B5" s="12" t="s">
        <v>6</v>
      </c>
      <c r="C5" s="135" t="s">
        <v>128</v>
      </c>
      <c r="D5" s="136">
        <v>0</v>
      </c>
      <c r="E5" s="136">
        <v>0</v>
      </c>
      <c r="F5" s="135" t="s">
        <v>128</v>
      </c>
      <c r="G5" s="1"/>
    </row>
    <row r="6" spans="2:7" ht="18.75" x14ac:dyDescent="0.3">
      <c r="B6" s="12" t="s">
        <v>26</v>
      </c>
      <c r="C6" s="136">
        <v>0</v>
      </c>
      <c r="D6" s="136">
        <v>25</v>
      </c>
      <c r="E6" s="136">
        <v>25</v>
      </c>
      <c r="F6" s="136">
        <v>0</v>
      </c>
      <c r="G6" s="1"/>
    </row>
    <row r="7" spans="2:7" ht="63" x14ac:dyDescent="0.3">
      <c r="B7" s="155" t="s">
        <v>30</v>
      </c>
      <c r="C7" s="137">
        <v>1</v>
      </c>
      <c r="D7" s="136">
        <v>1</v>
      </c>
      <c r="E7" s="136">
        <v>1</v>
      </c>
      <c r="F7" s="136">
        <v>1</v>
      </c>
      <c r="G7" s="1"/>
    </row>
    <row r="8" spans="2:7" ht="71.25" customHeight="1" x14ac:dyDescent="0.3">
      <c r="B8" s="150" t="s">
        <v>6</v>
      </c>
      <c r="C8" s="237" t="s">
        <v>63</v>
      </c>
      <c r="D8" s="238"/>
      <c r="E8" s="238"/>
      <c r="F8" s="239"/>
      <c r="G8" s="1"/>
    </row>
    <row r="9" spans="2:7" ht="18.75" x14ac:dyDescent="0.3">
      <c r="B9" s="150" t="s">
        <v>26</v>
      </c>
      <c r="C9" s="135">
        <v>25</v>
      </c>
      <c r="D9" s="136">
        <v>25</v>
      </c>
      <c r="E9" s="136">
        <v>25</v>
      </c>
      <c r="F9" s="136">
        <v>25</v>
      </c>
      <c r="G9" s="1"/>
    </row>
    <row r="10" spans="2:7" ht="63.75" x14ac:dyDescent="0.3">
      <c r="B10" s="159" t="s">
        <v>29</v>
      </c>
      <c r="C10" s="135">
        <v>1</v>
      </c>
      <c r="D10" s="136">
        <v>1</v>
      </c>
      <c r="E10" s="136">
        <v>1</v>
      </c>
      <c r="F10" s="136">
        <v>1</v>
      </c>
      <c r="G10" s="1"/>
    </row>
    <row r="11" spans="2:7" ht="18.75" x14ac:dyDescent="0.3">
      <c r="B11" s="150" t="s">
        <v>6</v>
      </c>
      <c r="C11" s="135" t="s">
        <v>64</v>
      </c>
      <c r="D11" s="139"/>
      <c r="E11" s="139"/>
      <c r="F11" s="139"/>
      <c r="G11" s="1"/>
    </row>
    <row r="12" spans="2:7" ht="18.75" x14ac:dyDescent="0.3">
      <c r="B12" s="150" t="s">
        <v>26</v>
      </c>
      <c r="C12" s="135">
        <v>20</v>
      </c>
      <c r="D12" s="136">
        <v>20</v>
      </c>
      <c r="E12" s="136">
        <v>20</v>
      </c>
      <c r="F12" s="136">
        <v>20</v>
      </c>
      <c r="G12" s="1"/>
    </row>
    <row r="13" spans="2:7" ht="79.5" x14ac:dyDescent="0.3">
      <c r="B13" s="159" t="s">
        <v>28</v>
      </c>
      <c r="C13" s="140">
        <v>1</v>
      </c>
      <c r="D13" s="140">
        <v>1</v>
      </c>
      <c r="E13" s="140">
        <v>1</v>
      </c>
      <c r="F13" s="140">
        <v>1</v>
      </c>
      <c r="G13" s="1"/>
    </row>
    <row r="14" spans="2:7" ht="51.75" x14ac:dyDescent="0.3">
      <c r="B14" s="12" t="s">
        <v>6</v>
      </c>
      <c r="C14" s="141" t="s">
        <v>59</v>
      </c>
      <c r="D14" s="142" t="s">
        <v>59</v>
      </c>
      <c r="E14" s="142" t="s">
        <v>59</v>
      </c>
      <c r="F14" s="141" t="s">
        <v>59</v>
      </c>
      <c r="G14" s="1"/>
    </row>
    <row r="15" spans="2:7" ht="18.75" x14ac:dyDescent="0.3">
      <c r="B15" s="12" t="s">
        <v>26</v>
      </c>
      <c r="C15" s="134">
        <f>30*1</f>
        <v>30</v>
      </c>
      <c r="D15" s="134">
        <f t="shared" ref="D15:F15" si="0">30*1</f>
        <v>30</v>
      </c>
      <c r="E15" s="134">
        <f t="shared" si="0"/>
        <v>30</v>
      </c>
      <c r="F15" s="134">
        <f t="shared" si="0"/>
        <v>30</v>
      </c>
      <c r="G15" s="1"/>
    </row>
    <row r="16" spans="2:7" ht="30" customHeight="1" x14ac:dyDescent="0.3">
      <c r="B16" s="53" t="s">
        <v>58</v>
      </c>
      <c r="C16" s="39">
        <f>C6+C9+C12+C15</f>
        <v>75</v>
      </c>
      <c r="D16" s="39">
        <f t="shared" ref="D16:F16" si="1">D6+D9+D12+D15</f>
        <v>100</v>
      </c>
      <c r="E16" s="39">
        <f t="shared" si="1"/>
        <v>100</v>
      </c>
      <c r="F16" s="39">
        <f t="shared" si="1"/>
        <v>75</v>
      </c>
      <c r="G16" s="1"/>
    </row>
    <row r="17" spans="2:7" ht="18.75" x14ac:dyDescent="0.3">
      <c r="B17" s="37" t="s">
        <v>55</v>
      </c>
      <c r="C17" s="40" t="s">
        <v>245</v>
      </c>
      <c r="D17" s="40" t="s">
        <v>244</v>
      </c>
      <c r="E17" s="40" t="s">
        <v>244</v>
      </c>
      <c r="F17" s="40" t="s">
        <v>245</v>
      </c>
      <c r="G17" s="1"/>
    </row>
    <row r="18" spans="2:7" ht="33.75" x14ac:dyDescent="0.3">
      <c r="B18" s="53" t="s">
        <v>54</v>
      </c>
      <c r="C18" s="215">
        <f>(C16+D16+E16+F16)/4</f>
        <v>87.5</v>
      </c>
      <c r="D18" s="216"/>
      <c r="E18" s="216"/>
      <c r="F18" s="217"/>
      <c r="G18" s="1"/>
    </row>
    <row r="19" spans="2:7" ht="93.75" x14ac:dyDescent="0.3">
      <c r="B19" s="38" t="s">
        <v>57</v>
      </c>
      <c r="C19" s="48">
        <f>100-C16</f>
        <v>25</v>
      </c>
      <c r="D19" s="48">
        <f t="shared" ref="D19:F19" si="2">100-D16</f>
        <v>0</v>
      </c>
      <c r="E19" s="48">
        <f t="shared" si="2"/>
        <v>0</v>
      </c>
      <c r="F19" s="48">
        <f t="shared" si="2"/>
        <v>25</v>
      </c>
      <c r="G19" s="1"/>
    </row>
    <row r="20" spans="2:7" ht="69" customHeight="1" x14ac:dyDescent="0.3">
      <c r="B20" s="54" t="s">
        <v>61</v>
      </c>
      <c r="C20" s="44" t="s">
        <v>60</v>
      </c>
      <c r="D20" s="44" t="s">
        <v>247</v>
      </c>
      <c r="E20" s="44" t="s">
        <v>247</v>
      </c>
      <c r="F20" s="44" t="s">
        <v>60</v>
      </c>
      <c r="G20" s="1"/>
    </row>
    <row r="21" spans="2:7" ht="18.75" x14ac:dyDescent="0.3">
      <c r="B21" s="1"/>
    </row>
    <row r="22" spans="2:7" ht="16.5" x14ac:dyDescent="0.25">
      <c r="B22" s="71" t="s">
        <v>274</v>
      </c>
      <c r="C22" s="71"/>
      <c r="D22" s="71"/>
      <c r="E22" s="71"/>
      <c r="F22" s="71" t="s">
        <v>118</v>
      </c>
    </row>
    <row r="23" spans="2:7" ht="16.5" x14ac:dyDescent="0.25">
      <c r="B23" s="71"/>
      <c r="C23" s="71"/>
      <c r="D23" s="71"/>
      <c r="E23" s="71"/>
      <c r="F23" s="71"/>
    </row>
    <row r="24" spans="2:7" ht="16.5" x14ac:dyDescent="0.25">
      <c r="B24" s="71" t="s">
        <v>185</v>
      </c>
      <c r="C24" s="71"/>
      <c r="D24" s="71"/>
      <c r="E24" s="71"/>
      <c r="F24" s="71"/>
    </row>
  </sheetData>
  <mergeCells count="3">
    <mergeCell ref="B2:F2"/>
    <mergeCell ref="C8:F8"/>
    <mergeCell ref="C18:F18"/>
  </mergeCells>
  <pageMargins left="0.35433070866141736" right="0.15748031496062992" top="0.78740157480314965" bottom="0.59055118110236227" header="0.51181102362204722" footer="0.51181102362204722"/>
  <pageSetup paperSize="9" scale="97" fitToHeight="2" orientation="landscape" r:id="rId1"/>
  <rowBreaks count="1" manualBreakCount="1">
    <brk id="13" max="6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tabSelected="1" zoomScale="85" zoomScaleNormal="85" workbookViewId="0">
      <pane ySplit="2" topLeftCell="A3" activePane="bottomLeft" state="frozen"/>
      <selection pane="bottomLeft" activeCell="E53" sqref="E53"/>
    </sheetView>
  </sheetViews>
  <sheetFormatPr defaultRowHeight="15" x14ac:dyDescent="0.25"/>
  <cols>
    <col min="1" max="1" width="1.5703125" customWidth="1"/>
    <col min="2" max="2" width="42" customWidth="1"/>
    <col min="3" max="3" width="27.140625" customWidth="1"/>
    <col min="4" max="4" width="26" customWidth="1"/>
    <col min="5" max="5" width="26.28515625" customWidth="1"/>
    <col min="6" max="6" width="25.42578125" customWidth="1"/>
  </cols>
  <sheetData>
    <row r="1" spans="2:7" ht="61.5" customHeight="1" x14ac:dyDescent="0.25">
      <c r="B1" s="208" t="s">
        <v>354</v>
      </c>
      <c r="C1" s="208"/>
      <c r="D1" s="208"/>
      <c r="E1" s="208"/>
      <c r="F1" s="208"/>
    </row>
    <row r="2" spans="2:7" ht="32.25" x14ac:dyDescent="0.3">
      <c r="B2" s="9" t="s">
        <v>0</v>
      </c>
      <c r="C2" s="7" t="s">
        <v>1</v>
      </c>
      <c r="D2" s="61" t="s">
        <v>2</v>
      </c>
      <c r="E2" s="62" t="s">
        <v>3</v>
      </c>
      <c r="F2" s="62" t="s">
        <v>5</v>
      </c>
      <c r="G2" s="1"/>
    </row>
    <row r="3" spans="2:7" ht="18.75" x14ac:dyDescent="0.3">
      <c r="B3" s="232" t="s">
        <v>120</v>
      </c>
      <c r="C3" s="232"/>
      <c r="D3" s="232"/>
      <c r="E3" s="232"/>
      <c r="F3" s="232"/>
      <c r="G3" s="1"/>
    </row>
    <row r="4" spans="2:7" ht="47.25" x14ac:dyDescent="0.3">
      <c r="B4" s="155" t="s">
        <v>31</v>
      </c>
      <c r="C4" s="146">
        <f>20*96.5/100</f>
        <v>19.3</v>
      </c>
      <c r="D4" s="162">
        <f>20*0/100</f>
        <v>0</v>
      </c>
      <c r="E4" s="162">
        <f>20*99/100</f>
        <v>19.8</v>
      </c>
      <c r="F4" s="162">
        <f>20*97.1/100</f>
        <v>19.420000000000002</v>
      </c>
      <c r="G4" s="1"/>
    </row>
    <row r="5" spans="2:7" ht="18.75" x14ac:dyDescent="0.3">
      <c r="B5" s="163" t="s">
        <v>6</v>
      </c>
      <c r="C5" s="204" t="s">
        <v>358</v>
      </c>
      <c r="D5" s="204" t="s">
        <v>356</v>
      </c>
      <c r="E5" s="204" t="s">
        <v>355</v>
      </c>
      <c r="F5" s="204" t="s">
        <v>357</v>
      </c>
      <c r="G5" s="1"/>
    </row>
    <row r="6" spans="2:7" ht="18.75" x14ac:dyDescent="0.3">
      <c r="B6" s="150" t="s">
        <v>119</v>
      </c>
      <c r="C6" s="162">
        <f>25*C4/100</f>
        <v>4.8250000000000002</v>
      </c>
      <c r="D6" s="162">
        <f>25*D4/100</f>
        <v>0</v>
      </c>
      <c r="E6" s="162">
        <f>25*E4/100</f>
        <v>4.95</v>
      </c>
      <c r="F6" s="162">
        <f>25*F4/100</f>
        <v>4.8550000000000004</v>
      </c>
      <c r="G6" s="1"/>
    </row>
    <row r="7" spans="2:7" ht="99" customHeight="1" x14ac:dyDescent="0.3">
      <c r="B7" s="155" t="s">
        <v>32</v>
      </c>
      <c r="C7" s="157">
        <v>20</v>
      </c>
      <c r="D7" s="157">
        <f>20*100/100</f>
        <v>20</v>
      </c>
      <c r="E7" s="157">
        <f>20*100/100</f>
        <v>20</v>
      </c>
      <c r="F7" s="146">
        <f>20*100/100</f>
        <v>20</v>
      </c>
      <c r="G7" s="1"/>
    </row>
    <row r="8" spans="2:7" ht="101.25" customHeight="1" x14ac:dyDescent="0.3">
      <c r="B8" s="150" t="s">
        <v>6</v>
      </c>
      <c r="C8" s="205" t="s">
        <v>359</v>
      </c>
      <c r="D8" s="157" t="s">
        <v>296</v>
      </c>
      <c r="E8" s="157" t="s">
        <v>296</v>
      </c>
      <c r="F8" s="204" t="s">
        <v>360</v>
      </c>
      <c r="G8" s="1"/>
    </row>
    <row r="9" spans="2:7" ht="18.75" x14ac:dyDescent="0.3">
      <c r="B9" s="150" t="s">
        <v>119</v>
      </c>
      <c r="C9" s="146">
        <f>25*C7/100</f>
        <v>5</v>
      </c>
      <c r="D9" s="146">
        <f>25*D7/100</f>
        <v>5</v>
      </c>
      <c r="E9" s="146">
        <f>25*E7/100</f>
        <v>5</v>
      </c>
      <c r="F9" s="146">
        <f>25*F7/100</f>
        <v>5</v>
      </c>
      <c r="G9" s="1"/>
    </row>
    <row r="10" spans="2:7" ht="94.5" x14ac:dyDescent="0.3">
      <c r="B10" s="151" t="s">
        <v>33</v>
      </c>
      <c r="C10" s="183">
        <f>20*100/100</f>
        <v>20</v>
      </c>
      <c r="D10" s="183">
        <f>20*100/100</f>
        <v>20</v>
      </c>
      <c r="E10" s="183">
        <f>20*100/100</f>
        <v>20</v>
      </c>
      <c r="F10" s="183">
        <f>20*100/100</f>
        <v>20</v>
      </c>
      <c r="G10" s="1"/>
    </row>
    <row r="11" spans="2:7" ht="45.75" x14ac:dyDescent="0.3">
      <c r="B11" s="150" t="s">
        <v>6</v>
      </c>
      <c r="C11" s="205" t="s">
        <v>361</v>
      </c>
      <c r="D11" s="166" t="s">
        <v>181</v>
      </c>
      <c r="E11" s="166" t="s">
        <v>181</v>
      </c>
      <c r="F11" s="204" t="s">
        <v>362</v>
      </c>
      <c r="G11" s="1"/>
    </row>
    <row r="12" spans="2:7" ht="18.75" x14ac:dyDescent="0.3">
      <c r="B12" s="150" t="s">
        <v>119</v>
      </c>
      <c r="C12" s="183">
        <f>25*C10/100</f>
        <v>5</v>
      </c>
      <c r="D12" s="146">
        <f>25*D10/100</f>
        <v>5</v>
      </c>
      <c r="E12" s="146">
        <f>25*E10/100</f>
        <v>5</v>
      </c>
      <c r="F12" s="146">
        <f>25*F10/100</f>
        <v>5</v>
      </c>
      <c r="G12" s="1"/>
    </row>
    <row r="13" spans="2:7" ht="47.25" x14ac:dyDescent="0.3">
      <c r="B13" s="155" t="s">
        <v>260</v>
      </c>
      <c r="C13" s="154">
        <f>1*20</f>
        <v>20</v>
      </c>
      <c r="D13" s="154">
        <f t="shared" ref="D13:F13" si="0">1*20</f>
        <v>20</v>
      </c>
      <c r="E13" s="154">
        <f t="shared" si="0"/>
        <v>20</v>
      </c>
      <c r="F13" s="154">
        <f t="shared" si="0"/>
        <v>20</v>
      </c>
      <c r="G13" s="1"/>
    </row>
    <row r="14" spans="2:7" ht="18.75" x14ac:dyDescent="0.3">
      <c r="B14" s="150" t="s">
        <v>8</v>
      </c>
      <c r="C14" s="167" t="s">
        <v>298</v>
      </c>
      <c r="D14" s="167" t="s">
        <v>298</v>
      </c>
      <c r="E14" s="167" t="s">
        <v>298</v>
      </c>
      <c r="F14" s="167" t="s">
        <v>298</v>
      </c>
      <c r="G14" s="1"/>
    </row>
    <row r="15" spans="2:7" ht="18.75" x14ac:dyDescent="0.3">
      <c r="B15" s="150" t="s">
        <v>119</v>
      </c>
      <c r="C15" s="168">
        <f>25*C13/100</f>
        <v>5</v>
      </c>
      <c r="D15" s="168">
        <f>25*D13/100</f>
        <v>5</v>
      </c>
      <c r="E15" s="168">
        <f>25*E13/100</f>
        <v>5</v>
      </c>
      <c r="F15" s="168">
        <f t="shared" ref="F15" si="1">25*F13/100</f>
        <v>5</v>
      </c>
      <c r="G15" s="1"/>
    </row>
    <row r="16" spans="2:7" ht="31.5" x14ac:dyDescent="0.3">
      <c r="B16" s="155" t="s">
        <v>35</v>
      </c>
      <c r="C16" s="169">
        <f>1*20*96.5/100</f>
        <v>19.3</v>
      </c>
      <c r="D16" s="169">
        <f>1*20*100/100</f>
        <v>20</v>
      </c>
      <c r="E16" s="169">
        <f>1*20*99/100</f>
        <v>19.8</v>
      </c>
      <c r="F16" s="169">
        <f>1*20*97.1/100</f>
        <v>19.420000000000002</v>
      </c>
      <c r="G16" s="1"/>
    </row>
    <row r="17" spans="2:7" ht="18.75" x14ac:dyDescent="0.3">
      <c r="B17" s="150" t="s">
        <v>6</v>
      </c>
      <c r="C17" s="204" t="s">
        <v>358</v>
      </c>
      <c r="D17" s="204" t="s">
        <v>363</v>
      </c>
      <c r="E17" s="204" t="s">
        <v>355</v>
      </c>
      <c r="F17" s="204" t="s">
        <v>357</v>
      </c>
      <c r="G17" s="1"/>
    </row>
    <row r="18" spans="2:7" ht="18.75" x14ac:dyDescent="0.3">
      <c r="B18" s="150" t="s">
        <v>119</v>
      </c>
      <c r="C18" s="162">
        <f>25*C16/100</f>
        <v>4.8250000000000002</v>
      </c>
      <c r="D18" s="162">
        <f t="shared" ref="D18:E18" si="2">25*D16/100</f>
        <v>5</v>
      </c>
      <c r="E18" s="162">
        <f t="shared" si="2"/>
        <v>4.95</v>
      </c>
      <c r="F18" s="162">
        <f>25*F16/100</f>
        <v>4.8550000000000004</v>
      </c>
      <c r="G18" s="1"/>
    </row>
    <row r="19" spans="2:7" ht="18.75" x14ac:dyDescent="0.3">
      <c r="B19" s="233" t="s">
        <v>121</v>
      </c>
      <c r="C19" s="234"/>
      <c r="D19" s="234"/>
      <c r="E19" s="234"/>
      <c r="F19" s="235"/>
      <c r="G19" s="1"/>
    </row>
    <row r="20" spans="2:7" s="144" customFormat="1" ht="48" x14ac:dyDescent="0.3">
      <c r="B20" s="155" t="s">
        <v>36</v>
      </c>
      <c r="C20" s="192" t="s">
        <v>367</v>
      </c>
      <c r="D20" s="193" t="s">
        <v>366</v>
      </c>
      <c r="E20" s="193" t="s">
        <v>369</v>
      </c>
      <c r="F20" s="194" t="s">
        <v>371</v>
      </c>
      <c r="G20" s="147"/>
    </row>
    <row r="21" spans="2:7" s="144" customFormat="1" ht="50.25" customHeight="1" x14ac:dyDescent="0.3">
      <c r="B21" s="156" t="s">
        <v>9</v>
      </c>
      <c r="C21" s="206" t="s">
        <v>364</v>
      </c>
      <c r="D21" s="206" t="s">
        <v>365</v>
      </c>
      <c r="E21" s="206" t="s">
        <v>368</v>
      </c>
      <c r="F21" s="206" t="s">
        <v>370</v>
      </c>
      <c r="G21" s="147"/>
    </row>
    <row r="22" spans="2:7" s="144" customFormat="1" ht="18.75" x14ac:dyDescent="0.3">
      <c r="B22" s="150" t="s">
        <v>119</v>
      </c>
      <c r="C22" s="146">
        <f>25*8.8/100</f>
        <v>2.2000000000000002</v>
      </c>
      <c r="D22" s="146">
        <f>25*20/100</f>
        <v>5</v>
      </c>
      <c r="E22" s="146">
        <f>25*15.4/100</f>
        <v>3.85</v>
      </c>
      <c r="F22" s="146">
        <f>25*20/100</f>
        <v>5</v>
      </c>
      <c r="G22" s="147"/>
    </row>
    <row r="23" spans="2:7" ht="63" x14ac:dyDescent="0.3">
      <c r="B23" s="170" t="s">
        <v>37</v>
      </c>
      <c r="C23" s="157">
        <f>10*100/100</f>
        <v>10</v>
      </c>
      <c r="D23" s="157">
        <f>10*100/100</f>
        <v>10</v>
      </c>
      <c r="E23" s="157">
        <f t="shared" ref="E23" si="3">10*100/100</f>
        <v>10</v>
      </c>
      <c r="F23" s="157">
        <f>10*100/100</f>
        <v>10</v>
      </c>
      <c r="G23" s="1"/>
    </row>
    <row r="24" spans="2:7" ht="48" x14ac:dyDescent="0.3">
      <c r="B24" s="163" t="s">
        <v>6</v>
      </c>
      <c r="C24" s="193" t="s">
        <v>372</v>
      </c>
      <c r="D24" s="157" t="s">
        <v>15</v>
      </c>
      <c r="E24" s="157" t="s">
        <v>15</v>
      </c>
      <c r="F24" s="193" t="s">
        <v>373</v>
      </c>
      <c r="G24" s="1"/>
    </row>
    <row r="25" spans="2:7" ht="18.75" x14ac:dyDescent="0.3">
      <c r="B25" s="150" t="s">
        <v>119</v>
      </c>
      <c r="C25" s="162">
        <f>C23*25/100</f>
        <v>2.5</v>
      </c>
      <c r="D25" s="146">
        <f>10*25/100</f>
        <v>2.5</v>
      </c>
      <c r="E25" s="146">
        <f t="shared" ref="E25" si="4">10*25/100</f>
        <v>2.5</v>
      </c>
      <c r="F25" s="162">
        <f>F23*25/100</f>
        <v>2.5</v>
      </c>
      <c r="G25" s="1"/>
    </row>
    <row r="26" spans="2:7" ht="78.75" x14ac:dyDescent="0.3">
      <c r="B26" s="170" t="s">
        <v>38</v>
      </c>
      <c r="C26" s="157">
        <f t="shared" ref="C26:D26" si="5">10*100/100</f>
        <v>10</v>
      </c>
      <c r="D26" s="157">
        <f t="shared" si="5"/>
        <v>10</v>
      </c>
      <c r="E26" s="157">
        <f>10*100/100</f>
        <v>10</v>
      </c>
      <c r="F26" s="146">
        <f>10*100/100</f>
        <v>10</v>
      </c>
      <c r="G26" s="1"/>
    </row>
    <row r="27" spans="2:7" ht="32.25" x14ac:dyDescent="0.3">
      <c r="B27" s="150" t="s">
        <v>6</v>
      </c>
      <c r="C27" s="193" t="s">
        <v>374</v>
      </c>
      <c r="D27" s="157" t="s">
        <v>16</v>
      </c>
      <c r="E27" s="157" t="s">
        <v>16</v>
      </c>
      <c r="F27" s="193" t="s">
        <v>375</v>
      </c>
      <c r="G27" s="1"/>
    </row>
    <row r="28" spans="2:7" ht="18.75" x14ac:dyDescent="0.3">
      <c r="B28" s="150" t="s">
        <v>119</v>
      </c>
      <c r="C28" s="162">
        <f t="shared" ref="C28:E28" si="6">C26*25/100</f>
        <v>2.5</v>
      </c>
      <c r="D28" s="162">
        <f t="shared" si="6"/>
        <v>2.5</v>
      </c>
      <c r="E28" s="162">
        <f t="shared" si="6"/>
        <v>2.5</v>
      </c>
      <c r="F28" s="162">
        <f>F26*25/100</f>
        <v>2.5</v>
      </c>
      <c r="G28" s="1"/>
    </row>
    <row r="29" spans="2:7" ht="18.75" x14ac:dyDescent="0.3">
      <c r="B29" s="171" t="s">
        <v>39</v>
      </c>
      <c r="C29" s="146" t="s">
        <v>67</v>
      </c>
      <c r="D29" s="146" t="s">
        <v>67</v>
      </c>
      <c r="E29" s="146" t="s">
        <v>67</v>
      </c>
      <c r="F29" s="146" t="s">
        <v>67</v>
      </c>
      <c r="G29" s="1"/>
    </row>
    <row r="30" spans="2:7" ht="32.25" x14ac:dyDescent="0.3">
      <c r="B30" s="150" t="s">
        <v>6</v>
      </c>
      <c r="C30" s="172" t="s">
        <v>21</v>
      </c>
      <c r="D30" s="172" t="s">
        <v>21</v>
      </c>
      <c r="E30" s="172" t="s">
        <v>21</v>
      </c>
      <c r="F30" s="172" t="s">
        <v>21</v>
      </c>
      <c r="G30" s="1"/>
    </row>
    <row r="31" spans="2:7" ht="18.75" x14ac:dyDescent="0.3">
      <c r="B31" s="150" t="s">
        <v>119</v>
      </c>
      <c r="C31" s="169">
        <f>0*25/100</f>
        <v>0</v>
      </c>
      <c r="D31" s="169">
        <f t="shared" ref="D31:F31" si="7">0*25/100</f>
        <v>0</v>
      </c>
      <c r="E31" s="169">
        <f t="shared" si="7"/>
        <v>0</v>
      </c>
      <c r="F31" s="169">
        <f t="shared" si="7"/>
        <v>0</v>
      </c>
      <c r="G31" s="1"/>
    </row>
    <row r="32" spans="2:7" ht="78.75" x14ac:dyDescent="0.3">
      <c r="B32" s="151" t="s">
        <v>40</v>
      </c>
      <c r="C32" s="169">
        <v>20</v>
      </c>
      <c r="D32" s="169">
        <f t="shared" ref="D32:F32" si="8">1*20</f>
        <v>20</v>
      </c>
      <c r="E32" s="169">
        <f t="shared" si="8"/>
        <v>20</v>
      </c>
      <c r="F32" s="169">
        <f t="shared" si="8"/>
        <v>20</v>
      </c>
      <c r="G32" s="1"/>
    </row>
    <row r="33" spans="2:7" ht="48" x14ac:dyDescent="0.3">
      <c r="B33" s="150" t="s">
        <v>6</v>
      </c>
      <c r="C33" s="196" t="s">
        <v>84</v>
      </c>
      <c r="D33" s="172" t="s">
        <v>84</v>
      </c>
      <c r="E33" s="172" t="s">
        <v>84</v>
      </c>
      <c r="F33" s="172" t="s">
        <v>84</v>
      </c>
      <c r="G33" s="1"/>
    </row>
    <row r="34" spans="2:7" ht="18.75" x14ac:dyDescent="0.3">
      <c r="B34" s="150" t="s">
        <v>119</v>
      </c>
      <c r="C34" s="169">
        <f>25*C32/100</f>
        <v>5</v>
      </c>
      <c r="D34" s="169">
        <f t="shared" ref="D34:F34" si="9">25*D32/100</f>
        <v>5</v>
      </c>
      <c r="E34" s="169">
        <f t="shared" si="9"/>
        <v>5</v>
      </c>
      <c r="F34" s="169">
        <f t="shared" si="9"/>
        <v>5</v>
      </c>
      <c r="G34" s="1"/>
    </row>
    <row r="35" spans="2:7" ht="78.75" x14ac:dyDescent="0.3">
      <c r="B35" s="155" t="s">
        <v>41</v>
      </c>
      <c r="C35" s="146">
        <f>1*20</f>
        <v>20</v>
      </c>
      <c r="D35" s="146">
        <f t="shared" ref="D35:F35" si="10">1*20</f>
        <v>20</v>
      </c>
      <c r="E35" s="146">
        <f>1*20</f>
        <v>20</v>
      </c>
      <c r="F35" s="146">
        <f t="shared" si="10"/>
        <v>20</v>
      </c>
      <c r="G35" s="1"/>
    </row>
    <row r="36" spans="2:7" ht="48" x14ac:dyDescent="0.3">
      <c r="B36" s="163" t="s">
        <v>6</v>
      </c>
      <c r="C36" s="172" t="s">
        <v>69</v>
      </c>
      <c r="D36" s="172" t="s">
        <v>69</v>
      </c>
      <c r="E36" s="172" t="s">
        <v>69</v>
      </c>
      <c r="F36" s="172" t="s">
        <v>69</v>
      </c>
      <c r="G36" s="1"/>
    </row>
    <row r="37" spans="2:7" ht="18.75" x14ac:dyDescent="0.3">
      <c r="B37" s="150" t="s">
        <v>119</v>
      </c>
      <c r="C37" s="146">
        <f>25*C35/100</f>
        <v>5</v>
      </c>
      <c r="D37" s="146">
        <f t="shared" ref="D37:F37" si="11">25*D35/100</f>
        <v>5</v>
      </c>
      <c r="E37" s="146">
        <f t="shared" si="11"/>
        <v>5</v>
      </c>
      <c r="F37" s="146">
        <f t="shared" si="11"/>
        <v>5</v>
      </c>
      <c r="G37" s="1"/>
    </row>
    <row r="38" spans="2:7" ht="18.75" x14ac:dyDescent="0.3">
      <c r="B38" s="231" t="s">
        <v>122</v>
      </c>
      <c r="C38" s="231"/>
      <c r="D38" s="231"/>
      <c r="E38" s="231"/>
      <c r="F38" s="231"/>
      <c r="G38" s="1"/>
    </row>
    <row r="39" spans="2:7" ht="78.75" x14ac:dyDescent="0.3">
      <c r="B39" s="151" t="s">
        <v>42</v>
      </c>
      <c r="C39" s="174">
        <f t="shared" ref="C39:F39" si="12">1*35</f>
        <v>35</v>
      </c>
      <c r="D39" s="174">
        <f t="shared" si="12"/>
        <v>35</v>
      </c>
      <c r="E39" s="174">
        <f t="shared" si="12"/>
        <v>35</v>
      </c>
      <c r="F39" s="174">
        <f t="shared" si="12"/>
        <v>35</v>
      </c>
      <c r="G39" s="1"/>
    </row>
    <row r="40" spans="2:7" ht="81" customHeight="1" x14ac:dyDescent="0.3">
      <c r="B40" s="150" t="s">
        <v>6</v>
      </c>
      <c r="C40" s="175" t="s">
        <v>70</v>
      </c>
      <c r="D40" s="175" t="s">
        <v>70</v>
      </c>
      <c r="E40" s="175" t="s">
        <v>70</v>
      </c>
      <c r="F40" s="175" t="s">
        <v>70</v>
      </c>
      <c r="G40" s="1"/>
    </row>
    <row r="41" spans="2:7" ht="18.75" x14ac:dyDescent="0.3">
      <c r="B41" s="150" t="s">
        <v>119</v>
      </c>
      <c r="C41" s="174">
        <f>16*C39/100</f>
        <v>5.6</v>
      </c>
      <c r="D41" s="174">
        <f t="shared" ref="D41:F41" si="13">16*D39/100</f>
        <v>5.6</v>
      </c>
      <c r="E41" s="174">
        <f t="shared" si="13"/>
        <v>5.6</v>
      </c>
      <c r="F41" s="174">
        <f t="shared" si="13"/>
        <v>5.6</v>
      </c>
      <c r="G41" s="1"/>
    </row>
    <row r="42" spans="2:7" ht="78.75" x14ac:dyDescent="0.3">
      <c r="B42" s="158" t="s">
        <v>43</v>
      </c>
      <c r="C42" s="176">
        <f>1*35</f>
        <v>35</v>
      </c>
      <c r="D42" s="176">
        <f t="shared" ref="D42:F42" si="14">1*35</f>
        <v>35</v>
      </c>
      <c r="E42" s="176">
        <f t="shared" si="14"/>
        <v>35</v>
      </c>
      <c r="F42" s="176">
        <f t="shared" si="14"/>
        <v>35</v>
      </c>
      <c r="G42" s="1"/>
    </row>
    <row r="43" spans="2:7" ht="48" x14ac:dyDescent="0.3">
      <c r="B43" s="150" t="s">
        <v>6</v>
      </c>
      <c r="C43" s="157" t="s">
        <v>71</v>
      </c>
      <c r="D43" s="157" t="s">
        <v>71</v>
      </c>
      <c r="E43" s="157" t="s">
        <v>71</v>
      </c>
      <c r="F43" s="157" t="s">
        <v>71</v>
      </c>
      <c r="G43" s="1"/>
    </row>
    <row r="44" spans="2:7" ht="18.75" x14ac:dyDescent="0.3">
      <c r="B44" s="150" t="s">
        <v>119</v>
      </c>
      <c r="C44" s="154">
        <f>16*C42/100</f>
        <v>5.6</v>
      </c>
      <c r="D44" s="154">
        <f t="shared" ref="D44:F44" si="15">16*D42/100</f>
        <v>5.6</v>
      </c>
      <c r="E44" s="154">
        <f t="shared" si="15"/>
        <v>5.6</v>
      </c>
      <c r="F44" s="154">
        <f t="shared" si="15"/>
        <v>5.6</v>
      </c>
      <c r="G44" s="1"/>
    </row>
    <row r="45" spans="2:7" ht="78.75" x14ac:dyDescent="0.3">
      <c r="B45" s="155" t="s">
        <v>44</v>
      </c>
      <c r="C45" s="154">
        <f>0*15</f>
        <v>0</v>
      </c>
      <c r="D45" s="154">
        <f t="shared" ref="D45:F45" si="16">0*15</f>
        <v>0</v>
      </c>
      <c r="E45" s="154">
        <f t="shared" si="16"/>
        <v>0</v>
      </c>
      <c r="F45" s="154">
        <f t="shared" si="16"/>
        <v>0</v>
      </c>
      <c r="G45" s="1"/>
    </row>
    <row r="46" spans="2:7" ht="95.25" x14ac:dyDescent="0.3">
      <c r="B46" s="150" t="s">
        <v>6</v>
      </c>
      <c r="C46" s="177" t="s">
        <v>72</v>
      </c>
      <c r="D46" s="157" t="s">
        <v>72</v>
      </c>
      <c r="E46" s="177" t="s">
        <v>72</v>
      </c>
      <c r="F46" s="159" t="s">
        <v>72</v>
      </c>
      <c r="G46" s="1"/>
    </row>
    <row r="47" spans="2:7" ht="18.75" x14ac:dyDescent="0.3">
      <c r="B47" s="150" t="s">
        <v>119</v>
      </c>
      <c r="C47" s="146">
        <f>16*C45/100</f>
        <v>0</v>
      </c>
      <c r="D47" s="146">
        <f t="shared" ref="D47:F47" si="17">16*D45/100</f>
        <v>0</v>
      </c>
      <c r="E47" s="146">
        <f t="shared" si="17"/>
        <v>0</v>
      </c>
      <c r="F47" s="146">
        <f t="shared" si="17"/>
        <v>0</v>
      </c>
      <c r="G47" s="1"/>
    </row>
    <row r="48" spans="2:7" ht="110.25" x14ac:dyDescent="0.3">
      <c r="B48" s="151" t="s">
        <v>45</v>
      </c>
      <c r="C48" s="146">
        <f>1*15</f>
        <v>15</v>
      </c>
      <c r="D48" s="146">
        <f t="shared" ref="D48:F48" si="18">1*15</f>
        <v>15</v>
      </c>
      <c r="E48" s="146">
        <f t="shared" si="18"/>
        <v>15</v>
      </c>
      <c r="F48" s="146">
        <f t="shared" si="18"/>
        <v>15</v>
      </c>
      <c r="G48" s="1"/>
    </row>
    <row r="49" spans="1:7" ht="32.25" x14ac:dyDescent="0.3">
      <c r="B49" s="150" t="s">
        <v>6</v>
      </c>
      <c r="C49" s="193" t="s">
        <v>73</v>
      </c>
      <c r="D49" s="157" t="s">
        <v>73</v>
      </c>
      <c r="E49" s="157" t="s">
        <v>73</v>
      </c>
      <c r="F49" s="157" t="s">
        <v>73</v>
      </c>
      <c r="G49" s="1"/>
    </row>
    <row r="50" spans="1:7" ht="18.75" x14ac:dyDescent="0.3">
      <c r="B50" s="150" t="s">
        <v>119</v>
      </c>
      <c r="C50" s="146">
        <f>16*C48/100</f>
        <v>2.4</v>
      </c>
      <c r="D50" s="146">
        <f t="shared" ref="D50:F50" si="19">16*D48/100</f>
        <v>2.4</v>
      </c>
      <c r="E50" s="146">
        <f t="shared" si="19"/>
        <v>2.4</v>
      </c>
      <c r="F50" s="146">
        <f t="shared" si="19"/>
        <v>2.4</v>
      </c>
      <c r="G50" s="1"/>
    </row>
    <row r="51" spans="1:7" ht="19.5" thickBot="1" x14ac:dyDescent="0.35">
      <c r="B51" s="236" t="s">
        <v>123</v>
      </c>
      <c r="C51" s="234"/>
      <c r="D51" s="234"/>
      <c r="E51" s="234"/>
      <c r="F51" s="235"/>
      <c r="G51" s="1"/>
    </row>
    <row r="52" spans="1:7" s="144" customFormat="1" ht="31.5" x14ac:dyDescent="0.3">
      <c r="B52" s="145" t="s">
        <v>46</v>
      </c>
      <c r="C52" s="146">
        <f>1*10</f>
        <v>10</v>
      </c>
      <c r="D52" s="146">
        <f t="shared" ref="D52" si="20">1*10</f>
        <v>10</v>
      </c>
      <c r="E52" s="146">
        <v>0</v>
      </c>
      <c r="F52" s="146">
        <f>1*10</f>
        <v>10</v>
      </c>
      <c r="G52" s="147"/>
    </row>
    <row r="53" spans="1:7" s="144" customFormat="1" ht="78.75" x14ac:dyDescent="0.3">
      <c r="B53" s="188" t="s">
        <v>6</v>
      </c>
      <c r="C53" s="189" t="s">
        <v>349</v>
      </c>
      <c r="D53" s="189" t="s">
        <v>350</v>
      </c>
      <c r="E53" s="189" t="s">
        <v>376</v>
      </c>
      <c r="F53" s="189" t="s">
        <v>350</v>
      </c>
      <c r="G53" s="147"/>
    </row>
    <row r="54" spans="1:7" s="144" customFormat="1" ht="18.75" x14ac:dyDescent="0.3">
      <c r="B54" s="150" t="s">
        <v>119</v>
      </c>
      <c r="C54" s="146">
        <f>16*C52/100</f>
        <v>1.6</v>
      </c>
      <c r="D54" s="146">
        <f t="shared" ref="D54:F54" si="21">16*D52/100</f>
        <v>1.6</v>
      </c>
      <c r="E54" s="146">
        <f t="shared" si="21"/>
        <v>0</v>
      </c>
      <c r="F54" s="146">
        <f t="shared" si="21"/>
        <v>1.6</v>
      </c>
      <c r="G54" s="147"/>
    </row>
    <row r="55" spans="1:7" s="144" customFormat="1" ht="63" x14ac:dyDescent="0.3">
      <c r="A55" s="144" t="s">
        <v>22</v>
      </c>
      <c r="B55" s="151" t="s">
        <v>47</v>
      </c>
      <c r="C55" s="146">
        <v>0</v>
      </c>
      <c r="D55" s="146">
        <f t="shared" ref="D55:E55" si="22">1*60</f>
        <v>60</v>
      </c>
      <c r="E55" s="146">
        <f t="shared" si="22"/>
        <v>60</v>
      </c>
      <c r="F55" s="146">
        <v>0</v>
      </c>
      <c r="G55" s="147"/>
    </row>
    <row r="56" spans="1:7" s="144" customFormat="1" ht="63" x14ac:dyDescent="0.3">
      <c r="B56" s="150" t="s">
        <v>6</v>
      </c>
      <c r="C56" s="152" t="s">
        <v>74</v>
      </c>
      <c r="D56" s="153" t="s">
        <v>235</v>
      </c>
      <c r="E56" s="153" t="s">
        <v>235</v>
      </c>
      <c r="F56" s="152" t="s">
        <v>74</v>
      </c>
      <c r="G56" s="147"/>
    </row>
    <row r="57" spans="1:7" s="144" customFormat="1" ht="18.75" x14ac:dyDescent="0.3">
      <c r="B57" s="150" t="s">
        <v>119</v>
      </c>
      <c r="C57" s="154">
        <f>16*C55/100</f>
        <v>0</v>
      </c>
      <c r="D57" s="154">
        <f t="shared" ref="D57:F57" si="23">16*D55/100</f>
        <v>9.6</v>
      </c>
      <c r="E57" s="154">
        <f t="shared" si="23"/>
        <v>9.6</v>
      </c>
      <c r="F57" s="154">
        <f t="shared" si="23"/>
        <v>0</v>
      </c>
      <c r="G57" s="147"/>
    </row>
    <row r="58" spans="1:7" s="144" customFormat="1" ht="31.5" x14ac:dyDescent="0.3">
      <c r="B58" s="155" t="s">
        <v>48</v>
      </c>
      <c r="C58" s="154">
        <f>1*15</f>
        <v>15</v>
      </c>
      <c r="D58" s="154">
        <f t="shared" ref="D58:F58" si="24">1*15</f>
        <v>15</v>
      </c>
      <c r="E58" s="154">
        <f t="shared" si="24"/>
        <v>15</v>
      </c>
      <c r="F58" s="154">
        <f t="shared" si="24"/>
        <v>15</v>
      </c>
      <c r="G58" s="147"/>
    </row>
    <row r="59" spans="1:7" s="144" customFormat="1" ht="103.5" customHeight="1" x14ac:dyDescent="0.3">
      <c r="B59" s="156" t="s">
        <v>233</v>
      </c>
      <c r="C59" s="152" t="s">
        <v>75</v>
      </c>
      <c r="D59" s="157" t="s">
        <v>75</v>
      </c>
      <c r="E59" s="152" t="s">
        <v>75</v>
      </c>
      <c r="F59" s="152" t="s">
        <v>75</v>
      </c>
      <c r="G59" s="147"/>
    </row>
    <row r="60" spans="1:7" s="144" customFormat="1" ht="18.75" x14ac:dyDescent="0.3">
      <c r="B60" s="150" t="s">
        <v>119</v>
      </c>
      <c r="C60" s="154">
        <f>16*C58/100</f>
        <v>2.4</v>
      </c>
      <c r="D60" s="154">
        <f t="shared" ref="D60:F60" si="25">16*D58/100</f>
        <v>2.4</v>
      </c>
      <c r="E60" s="154">
        <f t="shared" si="25"/>
        <v>2.4</v>
      </c>
      <c r="F60" s="154">
        <f t="shared" si="25"/>
        <v>2.4</v>
      </c>
      <c r="G60" s="147"/>
    </row>
    <row r="61" spans="1:7" s="144" customFormat="1" ht="48" x14ac:dyDescent="0.3">
      <c r="B61" s="159" t="s">
        <v>49</v>
      </c>
      <c r="C61" s="154">
        <f>1*15</f>
        <v>15</v>
      </c>
      <c r="D61" s="154">
        <f t="shared" ref="D61:F61" si="26">1*15</f>
        <v>15</v>
      </c>
      <c r="E61" s="154">
        <f t="shared" si="26"/>
        <v>15</v>
      </c>
      <c r="F61" s="154">
        <f t="shared" si="26"/>
        <v>15</v>
      </c>
      <c r="G61" s="147"/>
    </row>
    <row r="62" spans="1:7" s="144" customFormat="1" ht="95.25" x14ac:dyDescent="0.3">
      <c r="B62" s="156" t="s">
        <v>234</v>
      </c>
      <c r="C62" s="146" t="s">
        <v>76</v>
      </c>
      <c r="D62" s="146" t="s">
        <v>76</v>
      </c>
      <c r="E62" s="146" t="s">
        <v>76</v>
      </c>
      <c r="F62" s="146" t="s">
        <v>76</v>
      </c>
      <c r="G62" s="147"/>
    </row>
    <row r="63" spans="1:7" s="144" customFormat="1" ht="18.75" x14ac:dyDescent="0.3">
      <c r="B63" s="150" t="s">
        <v>119</v>
      </c>
      <c r="C63" s="146">
        <f>16*C61/100</f>
        <v>2.4</v>
      </c>
      <c r="D63" s="146">
        <f t="shared" ref="D63:F63" si="27">16*D61/100</f>
        <v>2.4</v>
      </c>
      <c r="E63" s="146">
        <f t="shared" si="27"/>
        <v>2.4</v>
      </c>
      <c r="F63" s="146">
        <f t="shared" si="27"/>
        <v>2.4</v>
      </c>
      <c r="G63" s="147"/>
    </row>
    <row r="64" spans="1:7" ht="18.75" x14ac:dyDescent="0.3">
      <c r="B64" s="231" t="s">
        <v>124</v>
      </c>
      <c r="C64" s="231"/>
      <c r="D64" s="231"/>
      <c r="E64" s="231"/>
      <c r="F64" s="231"/>
      <c r="G64" s="1"/>
    </row>
    <row r="65" spans="2:7" ht="47.25" x14ac:dyDescent="0.3">
      <c r="B65" s="155" t="s">
        <v>50</v>
      </c>
      <c r="C65" s="146">
        <f>1*50</f>
        <v>50</v>
      </c>
      <c r="D65" s="146">
        <f t="shared" ref="D65:F65" si="28">1*50</f>
        <v>50</v>
      </c>
      <c r="E65" s="146">
        <f t="shared" si="28"/>
        <v>50</v>
      </c>
      <c r="F65" s="146">
        <f t="shared" si="28"/>
        <v>50</v>
      </c>
      <c r="G65" s="1"/>
    </row>
    <row r="66" spans="2:7" ht="48" x14ac:dyDescent="0.3">
      <c r="B66" s="150" t="s">
        <v>6</v>
      </c>
      <c r="C66" s="157" t="s">
        <v>77</v>
      </c>
      <c r="D66" s="149" t="s">
        <v>90</v>
      </c>
      <c r="E66" s="149" t="s">
        <v>90</v>
      </c>
      <c r="F66" s="149" t="s">
        <v>90</v>
      </c>
      <c r="G66" s="1"/>
    </row>
    <row r="67" spans="2:7" ht="18.75" x14ac:dyDescent="0.3">
      <c r="B67" s="150" t="s">
        <v>119</v>
      </c>
      <c r="C67" s="146">
        <f>10*C65/100</f>
        <v>5</v>
      </c>
      <c r="D67" s="146">
        <f t="shared" ref="D67:F67" si="29">10*D65/100</f>
        <v>5</v>
      </c>
      <c r="E67" s="146">
        <f t="shared" si="29"/>
        <v>5</v>
      </c>
      <c r="F67" s="146">
        <f t="shared" si="29"/>
        <v>5</v>
      </c>
      <c r="G67" s="1"/>
    </row>
    <row r="68" spans="2:7" ht="47.25" x14ac:dyDescent="0.3">
      <c r="B68" s="151" t="s">
        <v>51</v>
      </c>
      <c r="C68" s="178">
        <f>1*50</f>
        <v>50</v>
      </c>
      <c r="D68" s="178">
        <f t="shared" ref="D68:F68" si="30">1*50</f>
        <v>50</v>
      </c>
      <c r="E68" s="178">
        <f t="shared" si="30"/>
        <v>50</v>
      </c>
      <c r="F68" s="178">
        <f t="shared" si="30"/>
        <v>50</v>
      </c>
      <c r="G68" s="1"/>
    </row>
    <row r="69" spans="2:7" ht="63.75" x14ac:dyDescent="0.3">
      <c r="B69" s="150" t="s">
        <v>6</v>
      </c>
      <c r="C69" s="157" t="s">
        <v>79</v>
      </c>
      <c r="D69" s="157" t="s">
        <v>79</v>
      </c>
      <c r="E69" s="157" t="s">
        <v>79</v>
      </c>
      <c r="F69" s="157" t="s">
        <v>79</v>
      </c>
      <c r="G69" s="1"/>
    </row>
    <row r="70" spans="2:7" ht="18.75" x14ac:dyDescent="0.3">
      <c r="B70" s="150" t="s">
        <v>119</v>
      </c>
      <c r="C70" s="146">
        <f>10*C68/100</f>
        <v>5</v>
      </c>
      <c r="D70" s="146">
        <f t="shared" ref="D70:F70" si="31">10*D68/100</f>
        <v>5</v>
      </c>
      <c r="E70" s="146">
        <f t="shared" si="31"/>
        <v>5</v>
      </c>
      <c r="F70" s="146">
        <f t="shared" si="31"/>
        <v>5</v>
      </c>
      <c r="G70" s="1"/>
    </row>
    <row r="71" spans="2:7" ht="18.75" x14ac:dyDescent="0.3">
      <c r="B71" s="231" t="s">
        <v>125</v>
      </c>
      <c r="C71" s="231"/>
      <c r="D71" s="231"/>
      <c r="E71" s="231"/>
      <c r="F71" s="231"/>
      <c r="G71" s="1"/>
    </row>
    <row r="72" spans="2:7" ht="94.5" x14ac:dyDescent="0.3">
      <c r="B72" s="155" t="s">
        <v>52</v>
      </c>
      <c r="C72" s="146">
        <f>1*50</f>
        <v>50</v>
      </c>
      <c r="D72" s="146">
        <f t="shared" ref="D72:F72" si="32">1*50</f>
        <v>50</v>
      </c>
      <c r="E72" s="146">
        <f t="shared" si="32"/>
        <v>50</v>
      </c>
      <c r="F72" s="146">
        <f t="shared" si="32"/>
        <v>50</v>
      </c>
      <c r="G72" s="1"/>
    </row>
    <row r="73" spans="2:7" ht="54" customHeight="1" x14ac:dyDescent="0.3">
      <c r="B73" s="150" t="s">
        <v>6</v>
      </c>
      <c r="C73" s="179" t="s">
        <v>78</v>
      </c>
      <c r="D73" s="149" t="s">
        <v>78</v>
      </c>
      <c r="E73" s="179" t="s">
        <v>78</v>
      </c>
      <c r="F73" s="180" t="s">
        <v>78</v>
      </c>
      <c r="G73" s="1"/>
    </row>
    <row r="74" spans="2:7" ht="18.75" x14ac:dyDescent="0.3">
      <c r="B74" s="150" t="s">
        <v>119</v>
      </c>
      <c r="C74" s="146">
        <f>8*C72/100</f>
        <v>4</v>
      </c>
      <c r="D74" s="146">
        <f t="shared" ref="D74:F74" si="33">8*D72/100</f>
        <v>4</v>
      </c>
      <c r="E74" s="146">
        <f t="shared" si="33"/>
        <v>4</v>
      </c>
      <c r="F74" s="146">
        <f t="shared" si="33"/>
        <v>4</v>
      </c>
      <c r="G74" s="1"/>
    </row>
    <row r="75" spans="2:7" ht="126" x14ac:dyDescent="0.3">
      <c r="B75" s="155" t="s">
        <v>53</v>
      </c>
      <c r="C75" s="146">
        <f>1*50</f>
        <v>50</v>
      </c>
      <c r="D75" s="146">
        <f t="shared" ref="D75:E75" si="34">1*50</f>
        <v>50</v>
      </c>
      <c r="E75" s="146">
        <f t="shared" si="34"/>
        <v>50</v>
      </c>
      <c r="F75" s="146">
        <f>1*50</f>
        <v>50</v>
      </c>
      <c r="G75" s="1"/>
    </row>
    <row r="76" spans="2:7" ht="47.25" x14ac:dyDescent="0.3">
      <c r="B76" s="150" t="s">
        <v>6</v>
      </c>
      <c r="C76" s="179" t="s">
        <v>78</v>
      </c>
      <c r="D76" s="149" t="s">
        <v>78</v>
      </c>
      <c r="E76" s="179" t="s">
        <v>78</v>
      </c>
      <c r="F76" s="149" t="s">
        <v>101</v>
      </c>
      <c r="G76" s="1"/>
    </row>
    <row r="77" spans="2:7" ht="18.75" x14ac:dyDescent="0.3">
      <c r="B77" s="150" t="s">
        <v>119</v>
      </c>
      <c r="C77" s="146">
        <f>8*C75/100</f>
        <v>4</v>
      </c>
      <c r="D77" s="146">
        <f t="shared" ref="D77:F77" si="35">8*D75/100</f>
        <v>4</v>
      </c>
      <c r="E77" s="146">
        <f t="shared" si="35"/>
        <v>4</v>
      </c>
      <c r="F77" s="146">
        <f t="shared" si="35"/>
        <v>4</v>
      </c>
      <c r="G77" s="1"/>
    </row>
    <row r="78" spans="2:7" ht="33.75" x14ac:dyDescent="0.3">
      <c r="B78" s="197" t="s">
        <v>58</v>
      </c>
      <c r="C78" s="198">
        <f>C6+C9+C12+C15+C18+C22+C25+C28+C31+C34+C37+C41+C44+C47+C50+C54+C57+C60+C63+C67+C70+C74+C77</f>
        <v>79.849999999999994</v>
      </c>
      <c r="D78" s="198">
        <f t="shared" ref="D78:F78" si="36">D6+D9+D12+D15+D18+D22+D25+D28+D31+D34+D37+D41+D44+D47+D50+D54+D57+D60+D63+D67+D70+D74+D77</f>
        <v>87.600000000000009</v>
      </c>
      <c r="E78" s="198">
        <f t="shared" si="36"/>
        <v>89.750000000000014</v>
      </c>
      <c r="F78" s="198">
        <f t="shared" si="36"/>
        <v>82.710000000000008</v>
      </c>
      <c r="G78" s="1"/>
    </row>
    <row r="79" spans="2:7" ht="18.75" x14ac:dyDescent="0.3">
      <c r="B79" s="199" t="s">
        <v>55</v>
      </c>
      <c r="C79" s="200" t="s">
        <v>200</v>
      </c>
      <c r="D79" s="200" t="s">
        <v>240</v>
      </c>
      <c r="E79" s="200" t="s">
        <v>189</v>
      </c>
      <c r="F79" s="200" t="s">
        <v>241</v>
      </c>
      <c r="G79" s="1"/>
    </row>
    <row r="80" spans="2:7" ht="33.75" x14ac:dyDescent="0.3">
      <c r="B80" s="197" t="s">
        <v>54</v>
      </c>
      <c r="C80" s="243">
        <f>(C78+D78+E78++F78)/4</f>
        <v>84.977499999999992</v>
      </c>
      <c r="D80" s="244"/>
      <c r="E80" s="244"/>
      <c r="F80" s="245"/>
      <c r="G80" s="1"/>
    </row>
    <row r="81" spans="2:7" ht="93.75" x14ac:dyDescent="0.3">
      <c r="B81" s="201" t="s">
        <v>57</v>
      </c>
      <c r="C81" s="202">
        <f>100-C78</f>
        <v>20.150000000000006</v>
      </c>
      <c r="D81" s="202">
        <f t="shared" ref="D81:F81" si="37">100-D78</f>
        <v>12.399999999999991</v>
      </c>
      <c r="E81" s="202">
        <f t="shared" si="37"/>
        <v>10.249999999999986</v>
      </c>
      <c r="F81" s="202">
        <f t="shared" si="37"/>
        <v>17.289999999999992</v>
      </c>
      <c r="G81" s="1"/>
    </row>
    <row r="82" spans="2:7" ht="63" x14ac:dyDescent="0.25">
      <c r="B82" s="197" t="s">
        <v>61</v>
      </c>
      <c r="C82" s="203" t="s">
        <v>115</v>
      </c>
      <c r="D82" s="203" t="s">
        <v>115</v>
      </c>
      <c r="E82" s="203" t="s">
        <v>115</v>
      </c>
      <c r="F82" s="203" t="s">
        <v>115</v>
      </c>
    </row>
    <row r="84" spans="2:7" ht="18.75" x14ac:dyDescent="0.3">
      <c r="B84" s="108"/>
      <c r="C84" s="108"/>
      <c r="D84" s="108"/>
      <c r="E84" s="108"/>
      <c r="F84" s="108"/>
    </row>
    <row r="85" spans="2:7" ht="18.75" x14ac:dyDescent="0.3">
      <c r="B85" s="108" t="s">
        <v>274</v>
      </c>
      <c r="C85" s="108"/>
      <c r="D85" s="108"/>
      <c r="E85" s="108"/>
      <c r="F85" s="108" t="s">
        <v>118</v>
      </c>
    </row>
    <row r="87" spans="2:7" ht="16.5" x14ac:dyDescent="0.25">
      <c r="B87" s="71" t="s">
        <v>289</v>
      </c>
    </row>
  </sheetData>
  <mergeCells count="8">
    <mergeCell ref="B71:F71"/>
    <mergeCell ref="C80:F80"/>
    <mergeCell ref="B1:F1"/>
    <mergeCell ref="B3:F3"/>
    <mergeCell ref="B19:F19"/>
    <mergeCell ref="B38:F38"/>
    <mergeCell ref="B51:F51"/>
    <mergeCell ref="B64:F64"/>
  </mergeCells>
  <pageMargins left="0.35433070866141736" right="0" top="0.59055118110236227" bottom="0.59055118110236227" header="0.51181102362204722" footer="0.51181102362204722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workbookViewId="0">
      <selection activeCell="E20" sqref="E20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214" t="s">
        <v>126</v>
      </c>
      <c r="C2" s="214"/>
      <c r="D2" s="214"/>
      <c r="E2" s="214"/>
      <c r="F2" s="214"/>
      <c r="G2" s="214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 x14ac:dyDescent="0.3">
      <c r="B4" s="14" t="s">
        <v>27</v>
      </c>
      <c r="C4" s="47">
        <v>0</v>
      </c>
      <c r="D4" s="48">
        <v>0.5</v>
      </c>
      <c r="E4" s="48">
        <v>1</v>
      </c>
      <c r="F4" s="48">
        <v>0.5</v>
      </c>
      <c r="G4" s="48">
        <v>0</v>
      </c>
      <c r="H4" s="1"/>
    </row>
    <row r="5" spans="2:8" ht="18.75" x14ac:dyDescent="0.3">
      <c r="B5" s="12" t="s">
        <v>6</v>
      </c>
      <c r="C5" s="46" t="s">
        <v>128</v>
      </c>
      <c r="D5" s="49">
        <v>1</v>
      </c>
      <c r="E5" s="50">
        <v>0</v>
      </c>
      <c r="F5" s="49">
        <v>7</v>
      </c>
      <c r="G5" s="49">
        <v>14</v>
      </c>
      <c r="H5" s="1"/>
    </row>
    <row r="6" spans="2:8" ht="18.75" x14ac:dyDescent="0.3">
      <c r="B6" s="12" t="s">
        <v>26</v>
      </c>
      <c r="C6" s="46">
        <v>0</v>
      </c>
      <c r="D6" s="49">
        <v>12.5</v>
      </c>
      <c r="E6" s="49">
        <v>25</v>
      </c>
      <c r="F6" s="49">
        <v>12.5</v>
      </c>
      <c r="G6" s="49">
        <v>0</v>
      </c>
      <c r="H6" s="1"/>
    </row>
    <row r="7" spans="2:8" ht="63" x14ac:dyDescent="0.3">
      <c r="B7" s="2" t="s">
        <v>30</v>
      </c>
      <c r="C7" s="51">
        <v>1</v>
      </c>
      <c r="D7" s="49">
        <v>1</v>
      </c>
      <c r="E7" s="49">
        <v>1</v>
      </c>
      <c r="F7" s="49">
        <v>1</v>
      </c>
      <c r="G7" s="49">
        <v>1</v>
      </c>
      <c r="H7" s="1"/>
    </row>
    <row r="8" spans="2:8" ht="18.75" x14ac:dyDescent="0.3">
      <c r="B8" s="12" t="s">
        <v>6</v>
      </c>
      <c r="C8" s="46" t="s">
        <v>63</v>
      </c>
      <c r="D8" s="15"/>
      <c r="E8" s="15"/>
      <c r="F8" s="15"/>
      <c r="G8" s="15"/>
      <c r="H8" s="1"/>
    </row>
    <row r="9" spans="2:8" ht="18.75" x14ac:dyDescent="0.3">
      <c r="B9" s="12" t="s">
        <v>26</v>
      </c>
      <c r="C9" s="46">
        <v>25</v>
      </c>
      <c r="D9" s="49">
        <v>25</v>
      </c>
      <c r="E9" s="49">
        <v>25</v>
      </c>
      <c r="F9" s="49">
        <v>25</v>
      </c>
      <c r="G9" s="49">
        <v>25</v>
      </c>
      <c r="H9" s="1"/>
    </row>
    <row r="10" spans="2:8" ht="63.75" x14ac:dyDescent="0.3">
      <c r="B10" s="7" t="s">
        <v>29</v>
      </c>
      <c r="C10" s="46">
        <v>1</v>
      </c>
      <c r="D10" s="49">
        <v>1</v>
      </c>
      <c r="E10" s="49">
        <v>1</v>
      </c>
      <c r="F10" s="49">
        <v>1</v>
      </c>
      <c r="G10" s="49">
        <v>1</v>
      </c>
      <c r="H10" s="1"/>
    </row>
    <row r="11" spans="2:8" ht="18.75" x14ac:dyDescent="0.3">
      <c r="B11" s="12" t="s">
        <v>6</v>
      </c>
      <c r="C11" s="46" t="s">
        <v>64</v>
      </c>
      <c r="D11" s="15"/>
      <c r="E11" s="15"/>
      <c r="F11" s="15"/>
      <c r="G11" s="15"/>
      <c r="H11" s="1"/>
    </row>
    <row r="12" spans="2:8" ht="18.75" x14ac:dyDescent="0.3">
      <c r="B12" s="12" t="s">
        <v>26</v>
      </c>
      <c r="C12" s="46">
        <v>20</v>
      </c>
      <c r="D12" s="49">
        <v>20</v>
      </c>
      <c r="E12" s="49">
        <v>20</v>
      </c>
      <c r="F12" s="49">
        <v>20</v>
      </c>
      <c r="G12" s="49">
        <v>20</v>
      </c>
      <c r="H12" s="1"/>
    </row>
    <row r="13" spans="2:8" ht="79.5" x14ac:dyDescent="0.3">
      <c r="B13" s="7" t="s">
        <v>28</v>
      </c>
      <c r="C13" s="52">
        <v>1</v>
      </c>
      <c r="D13" s="52">
        <v>1</v>
      </c>
      <c r="E13" s="52">
        <v>1</v>
      </c>
      <c r="F13" s="52">
        <v>1</v>
      </c>
      <c r="G13" s="52">
        <v>1</v>
      </c>
      <c r="H13" s="1"/>
    </row>
    <row r="14" spans="2:8" ht="51.75" x14ac:dyDescent="0.3">
      <c r="B14" s="12" t="s">
        <v>6</v>
      </c>
      <c r="C14" s="45" t="s">
        <v>59</v>
      </c>
      <c r="D14" s="43" t="s">
        <v>59</v>
      </c>
      <c r="E14" s="43" t="s">
        <v>59</v>
      </c>
      <c r="F14" s="43" t="s">
        <v>59</v>
      </c>
      <c r="G14" s="45" t="s">
        <v>59</v>
      </c>
      <c r="H14" s="1"/>
    </row>
    <row r="15" spans="2:8" ht="18.75" x14ac:dyDescent="0.3">
      <c r="B15" s="12" t="s">
        <v>26</v>
      </c>
      <c r="C15" s="48">
        <f>30*1</f>
        <v>30</v>
      </c>
      <c r="D15" s="48">
        <f t="shared" ref="D15:G15" si="0">30*1</f>
        <v>30</v>
      </c>
      <c r="E15" s="48">
        <f t="shared" si="0"/>
        <v>30</v>
      </c>
      <c r="F15" s="48">
        <f t="shared" si="0"/>
        <v>30</v>
      </c>
      <c r="G15" s="48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75</v>
      </c>
      <c r="D16" s="39">
        <f t="shared" ref="D16:G16" si="1">D6+D9+D12+D15</f>
        <v>87.5</v>
      </c>
      <c r="E16" s="39">
        <f t="shared" si="1"/>
        <v>100</v>
      </c>
      <c r="F16" s="39">
        <f t="shared" si="1"/>
        <v>87.5</v>
      </c>
      <c r="G16" s="39">
        <f t="shared" si="1"/>
        <v>75</v>
      </c>
      <c r="H16" s="1"/>
    </row>
    <row r="17" spans="2:8" ht="18.75" x14ac:dyDescent="0.3">
      <c r="B17" s="37" t="s">
        <v>55</v>
      </c>
      <c r="C17" s="40"/>
      <c r="D17" s="41"/>
      <c r="E17" s="41"/>
      <c r="F17" s="40"/>
      <c r="G17" s="41"/>
      <c r="H17" s="1"/>
    </row>
    <row r="18" spans="2:8" ht="33.75" x14ac:dyDescent="0.3">
      <c r="B18" s="53" t="s">
        <v>54</v>
      </c>
      <c r="C18" s="215">
        <f>(C16+D16+E16+F16+G16)/5</f>
        <v>85</v>
      </c>
      <c r="D18" s="216"/>
      <c r="E18" s="216"/>
      <c r="F18" s="216"/>
      <c r="G18" s="217"/>
      <c r="H18" s="1"/>
    </row>
    <row r="19" spans="2:8" ht="93.75" x14ac:dyDescent="0.3">
      <c r="B19" s="38" t="s">
        <v>57</v>
      </c>
      <c r="C19" s="48">
        <f>100-C16</f>
        <v>25</v>
      </c>
      <c r="D19" s="48">
        <f t="shared" ref="D19:G19" si="2">100-D16</f>
        <v>12.5</v>
      </c>
      <c r="E19" s="48">
        <f t="shared" si="2"/>
        <v>0</v>
      </c>
      <c r="F19" s="48">
        <f t="shared" si="2"/>
        <v>12.5</v>
      </c>
      <c r="G19" s="48">
        <f t="shared" si="2"/>
        <v>25</v>
      </c>
      <c r="H19" s="1"/>
    </row>
    <row r="20" spans="2:8" ht="59.25" customHeight="1" x14ac:dyDescent="0.3">
      <c r="B20" s="54" t="s">
        <v>61</v>
      </c>
      <c r="C20" s="44" t="s">
        <v>60</v>
      </c>
      <c r="D20" s="44" t="s">
        <v>60</v>
      </c>
      <c r="E20" s="44" t="s">
        <v>127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x14ac:dyDescent="0.25">
      <c r="B22" t="s">
        <v>129</v>
      </c>
      <c r="G22" t="s">
        <v>118</v>
      </c>
    </row>
    <row r="24" spans="2:8" x14ac:dyDescent="0.25">
      <c r="B24" t="s">
        <v>130</v>
      </c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opLeftCell="A13" zoomScale="70" zoomScaleNormal="70" workbookViewId="0">
      <selection activeCell="F13" sqref="F13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214" t="s">
        <v>131</v>
      </c>
      <c r="C2" s="214"/>
      <c r="D2" s="214"/>
      <c r="E2" s="214"/>
      <c r="F2" s="214"/>
      <c r="G2" s="214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 x14ac:dyDescent="0.3">
      <c r="B4" s="14" t="s">
        <v>27</v>
      </c>
      <c r="C4" s="47">
        <v>0</v>
      </c>
      <c r="D4" s="48">
        <v>0.5</v>
      </c>
      <c r="E4" s="48">
        <v>1</v>
      </c>
      <c r="F4" s="48">
        <v>0.5</v>
      </c>
      <c r="G4" s="48">
        <v>0</v>
      </c>
      <c r="H4" s="1"/>
    </row>
    <row r="5" spans="2:8" ht="18.75" x14ac:dyDescent="0.3">
      <c r="B5" s="12" t="s">
        <v>6</v>
      </c>
      <c r="C5" s="46" t="s">
        <v>128</v>
      </c>
      <c r="D5" s="49">
        <v>7</v>
      </c>
      <c r="E5" s="50">
        <v>0</v>
      </c>
      <c r="F5" s="49">
        <v>5</v>
      </c>
      <c r="G5" s="49" t="s">
        <v>132</v>
      </c>
      <c r="H5" s="1"/>
    </row>
    <row r="6" spans="2:8" ht="18.75" x14ac:dyDescent="0.3">
      <c r="B6" s="12" t="s">
        <v>26</v>
      </c>
      <c r="C6" s="46">
        <v>0</v>
      </c>
      <c r="D6" s="49">
        <v>12.5</v>
      </c>
      <c r="E6" s="49">
        <v>25</v>
      </c>
      <c r="F6" s="50">
        <v>12.5</v>
      </c>
      <c r="G6" s="50">
        <v>0</v>
      </c>
      <c r="H6" s="1"/>
    </row>
    <row r="7" spans="2:8" ht="63" x14ac:dyDescent="0.3">
      <c r="B7" s="2" t="s">
        <v>30</v>
      </c>
      <c r="C7" s="51">
        <v>1</v>
      </c>
      <c r="D7" s="49">
        <v>1</v>
      </c>
      <c r="E7" s="49">
        <v>1</v>
      </c>
      <c r="F7" s="49">
        <v>1</v>
      </c>
      <c r="G7" s="49">
        <v>1</v>
      </c>
      <c r="H7" s="1"/>
    </row>
    <row r="8" spans="2:8" ht="18.75" x14ac:dyDescent="0.3">
      <c r="B8" s="12" t="s">
        <v>6</v>
      </c>
      <c r="C8" s="46" t="s">
        <v>63</v>
      </c>
      <c r="D8" s="15"/>
      <c r="E8" s="15"/>
      <c r="F8" s="15"/>
      <c r="G8" s="15"/>
      <c r="H8" s="1"/>
    </row>
    <row r="9" spans="2:8" ht="18.75" x14ac:dyDescent="0.3">
      <c r="B9" s="12" t="s">
        <v>26</v>
      </c>
      <c r="C9" s="69">
        <v>25</v>
      </c>
      <c r="D9" s="50">
        <v>25</v>
      </c>
      <c r="E9" s="50">
        <v>25</v>
      </c>
      <c r="F9" s="50">
        <v>25</v>
      </c>
      <c r="G9" s="50">
        <v>25</v>
      </c>
      <c r="H9" s="1"/>
    </row>
    <row r="10" spans="2:8" ht="63.75" x14ac:dyDescent="0.3">
      <c r="B10" s="7" t="s">
        <v>29</v>
      </c>
      <c r="C10" s="46">
        <v>1</v>
      </c>
      <c r="D10" s="49">
        <v>1</v>
      </c>
      <c r="E10" s="49">
        <v>1</v>
      </c>
      <c r="F10" s="49">
        <v>1</v>
      </c>
      <c r="G10" s="49">
        <v>1</v>
      </c>
      <c r="H10" s="1"/>
    </row>
    <row r="11" spans="2:8" ht="18.75" x14ac:dyDescent="0.3">
      <c r="B11" s="12" t="s">
        <v>6</v>
      </c>
      <c r="C11" s="46" t="s">
        <v>64</v>
      </c>
      <c r="D11" s="15"/>
      <c r="E11" s="15"/>
      <c r="F11" s="15"/>
      <c r="G11" s="15"/>
      <c r="H11" s="1"/>
    </row>
    <row r="12" spans="2:8" ht="18.75" x14ac:dyDescent="0.3">
      <c r="B12" s="12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"/>
    </row>
    <row r="13" spans="2:8" ht="79.5" x14ac:dyDescent="0.3">
      <c r="B13" s="7" t="s">
        <v>28</v>
      </c>
      <c r="C13" s="52">
        <v>1</v>
      </c>
      <c r="D13" s="52">
        <v>1</v>
      </c>
      <c r="E13" s="52">
        <v>1</v>
      </c>
      <c r="F13" s="52">
        <v>1</v>
      </c>
      <c r="G13" s="52">
        <v>1</v>
      </c>
      <c r="H13" s="1"/>
    </row>
    <row r="14" spans="2:8" ht="51.75" x14ac:dyDescent="0.3">
      <c r="B14" s="12" t="s">
        <v>6</v>
      </c>
      <c r="C14" s="45" t="s">
        <v>59</v>
      </c>
      <c r="D14" s="43" t="s">
        <v>59</v>
      </c>
      <c r="E14" s="43" t="s">
        <v>59</v>
      </c>
      <c r="F14" s="43" t="s">
        <v>59</v>
      </c>
      <c r="G14" s="45" t="s">
        <v>59</v>
      </c>
      <c r="H14" s="1"/>
    </row>
    <row r="15" spans="2:8" ht="18.75" x14ac:dyDescent="0.3">
      <c r="B15" s="12" t="s">
        <v>26</v>
      </c>
      <c r="C15" s="70">
        <f>30*1</f>
        <v>30</v>
      </c>
      <c r="D15" s="70">
        <f t="shared" ref="D15:G15" si="0">30*1</f>
        <v>30</v>
      </c>
      <c r="E15" s="70">
        <f t="shared" si="0"/>
        <v>30</v>
      </c>
      <c r="F15" s="70">
        <f t="shared" si="0"/>
        <v>30</v>
      </c>
      <c r="G15" s="70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75</v>
      </c>
      <c r="D16" s="39">
        <f t="shared" ref="D16:G16" si="1">D6+D9+D12+D15</f>
        <v>87.5</v>
      </c>
      <c r="E16" s="39">
        <f t="shared" si="1"/>
        <v>100</v>
      </c>
      <c r="F16" s="39">
        <f t="shared" si="1"/>
        <v>87.5</v>
      </c>
      <c r="G16" s="39">
        <f t="shared" si="1"/>
        <v>75</v>
      </c>
      <c r="H16" s="1"/>
    </row>
    <row r="17" spans="2:8" ht="18.75" x14ac:dyDescent="0.3">
      <c r="B17" s="37" t="s">
        <v>55</v>
      </c>
      <c r="C17" s="40"/>
      <c r="D17" s="41"/>
      <c r="E17" s="41"/>
      <c r="F17" s="40"/>
      <c r="G17" s="41"/>
      <c r="H17" s="1"/>
    </row>
    <row r="18" spans="2:8" ht="33.75" x14ac:dyDescent="0.3">
      <c r="B18" s="53" t="s">
        <v>54</v>
      </c>
      <c r="C18" s="215">
        <f>(C16+D16+E16+F16+G16)/5</f>
        <v>85</v>
      </c>
      <c r="D18" s="216"/>
      <c r="E18" s="216"/>
      <c r="F18" s="216"/>
      <c r="G18" s="217"/>
      <c r="H18" s="1"/>
    </row>
    <row r="19" spans="2:8" ht="93.75" x14ac:dyDescent="0.3">
      <c r="B19" s="38" t="s">
        <v>57</v>
      </c>
      <c r="C19" s="48">
        <f>100-C16</f>
        <v>25</v>
      </c>
      <c r="D19" s="48">
        <f t="shared" ref="D19:G19" si="2">100-D16</f>
        <v>12.5</v>
      </c>
      <c r="E19" s="48">
        <f t="shared" si="2"/>
        <v>0</v>
      </c>
      <c r="F19" s="48">
        <f t="shared" si="2"/>
        <v>12.5</v>
      </c>
      <c r="G19" s="48">
        <f t="shared" si="2"/>
        <v>25</v>
      </c>
      <c r="H19" s="1"/>
    </row>
    <row r="20" spans="2:8" ht="59.25" customHeight="1" x14ac:dyDescent="0.3">
      <c r="B20" s="54" t="s">
        <v>61</v>
      </c>
      <c r="C20" s="44" t="s">
        <v>60</v>
      </c>
      <c r="D20" s="44" t="s">
        <v>60</v>
      </c>
      <c r="E20" s="44" t="s">
        <v>127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x14ac:dyDescent="0.25">
      <c r="B22" t="s">
        <v>129</v>
      </c>
      <c r="G22" t="s">
        <v>118</v>
      </c>
    </row>
    <row r="24" spans="2:8" x14ac:dyDescent="0.25">
      <c r="B24" t="s">
        <v>130</v>
      </c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opLeftCell="A7" zoomScale="70" zoomScaleNormal="70" workbookViewId="0">
      <selection activeCell="D22" sqref="D22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214" t="s">
        <v>133</v>
      </c>
      <c r="C2" s="214"/>
      <c r="D2" s="214"/>
      <c r="E2" s="214"/>
      <c r="F2" s="214"/>
      <c r="G2" s="214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 x14ac:dyDescent="0.3">
      <c r="B4" s="14" t="s">
        <v>27</v>
      </c>
      <c r="C4" s="47">
        <v>0</v>
      </c>
      <c r="D4" s="48">
        <v>0.5</v>
      </c>
      <c r="E4" s="48">
        <v>0.5</v>
      </c>
      <c r="F4" s="48">
        <v>0.5</v>
      </c>
      <c r="G4" s="48">
        <v>0</v>
      </c>
      <c r="H4" s="1"/>
    </row>
    <row r="5" spans="2:8" ht="18.75" x14ac:dyDescent="0.3">
      <c r="B5" s="12" t="s">
        <v>6</v>
      </c>
      <c r="C5" s="46" t="s">
        <v>128</v>
      </c>
      <c r="D5" s="49">
        <v>3</v>
      </c>
      <c r="E5" s="50">
        <v>3</v>
      </c>
      <c r="F5" s="49">
        <v>4</v>
      </c>
      <c r="G5" s="49" t="s">
        <v>132</v>
      </c>
      <c r="H5" s="1"/>
    </row>
    <row r="6" spans="2:8" ht="18.75" x14ac:dyDescent="0.3">
      <c r="B6" s="12" t="s">
        <v>26</v>
      </c>
      <c r="C6" s="46">
        <v>0</v>
      </c>
      <c r="D6" s="49">
        <v>12.5</v>
      </c>
      <c r="E6" s="49">
        <v>12.5</v>
      </c>
      <c r="F6" s="50">
        <v>12.5</v>
      </c>
      <c r="G6" s="50">
        <v>0</v>
      </c>
      <c r="H6" s="1"/>
    </row>
    <row r="7" spans="2:8" ht="63" x14ac:dyDescent="0.3">
      <c r="B7" s="2" t="s">
        <v>30</v>
      </c>
      <c r="C7" s="51">
        <v>1</v>
      </c>
      <c r="D7" s="49">
        <v>1</v>
      </c>
      <c r="E7" s="49">
        <v>1</v>
      </c>
      <c r="F7" s="49">
        <v>1</v>
      </c>
      <c r="G7" s="49">
        <v>1</v>
      </c>
      <c r="H7" s="1"/>
    </row>
    <row r="8" spans="2:8" ht="18.75" x14ac:dyDescent="0.3">
      <c r="B8" s="12" t="s">
        <v>6</v>
      </c>
      <c r="C8" s="46" t="s">
        <v>63</v>
      </c>
      <c r="D8" s="15"/>
      <c r="E8" s="15"/>
      <c r="F8" s="15"/>
      <c r="G8" s="15"/>
      <c r="H8" s="1"/>
    </row>
    <row r="9" spans="2:8" ht="18.75" x14ac:dyDescent="0.3">
      <c r="B9" s="12" t="s">
        <v>26</v>
      </c>
      <c r="C9" s="69">
        <v>25</v>
      </c>
      <c r="D9" s="50">
        <v>25</v>
      </c>
      <c r="E9" s="50">
        <v>25</v>
      </c>
      <c r="F9" s="50">
        <v>25</v>
      </c>
      <c r="G9" s="50">
        <v>25</v>
      </c>
      <c r="H9" s="1"/>
    </row>
    <row r="10" spans="2:8" ht="63.75" x14ac:dyDescent="0.3">
      <c r="B10" s="7" t="s">
        <v>29</v>
      </c>
      <c r="C10" s="46">
        <v>1</v>
      </c>
      <c r="D10" s="49">
        <v>1</v>
      </c>
      <c r="E10" s="49">
        <v>1</v>
      </c>
      <c r="F10" s="49">
        <v>1</v>
      </c>
      <c r="G10" s="49">
        <v>1</v>
      </c>
      <c r="H10" s="1"/>
    </row>
    <row r="11" spans="2:8" ht="18.75" x14ac:dyDescent="0.3">
      <c r="B11" s="12" t="s">
        <v>6</v>
      </c>
      <c r="C11" s="46" t="s">
        <v>64</v>
      </c>
      <c r="D11" s="15"/>
      <c r="E11" s="15"/>
      <c r="F11" s="15"/>
      <c r="G11" s="15"/>
      <c r="H11" s="1"/>
    </row>
    <row r="12" spans="2:8" ht="18.75" x14ac:dyDescent="0.3">
      <c r="B12" s="12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"/>
    </row>
    <row r="13" spans="2:8" ht="79.5" x14ac:dyDescent="0.3">
      <c r="B13" s="7" t="s">
        <v>28</v>
      </c>
      <c r="C13" s="52">
        <v>1</v>
      </c>
      <c r="D13" s="52">
        <v>1</v>
      </c>
      <c r="E13" s="52">
        <v>1</v>
      </c>
      <c r="F13" s="52">
        <v>1</v>
      </c>
      <c r="G13" s="52">
        <v>1</v>
      </c>
      <c r="H13" s="1"/>
    </row>
    <row r="14" spans="2:8" ht="51.75" x14ac:dyDescent="0.3">
      <c r="B14" s="12" t="s">
        <v>6</v>
      </c>
      <c r="C14" s="45" t="s">
        <v>59</v>
      </c>
      <c r="D14" s="43" t="s">
        <v>59</v>
      </c>
      <c r="E14" s="43" t="s">
        <v>59</v>
      </c>
      <c r="F14" s="43" t="s">
        <v>59</v>
      </c>
      <c r="G14" s="45" t="s">
        <v>59</v>
      </c>
      <c r="H14" s="1"/>
    </row>
    <row r="15" spans="2:8" ht="18.75" x14ac:dyDescent="0.3">
      <c r="B15" s="12" t="s">
        <v>26</v>
      </c>
      <c r="C15" s="70">
        <f>30*1</f>
        <v>30</v>
      </c>
      <c r="D15" s="70">
        <f t="shared" ref="D15:G15" si="0">30*1</f>
        <v>30</v>
      </c>
      <c r="E15" s="70">
        <f t="shared" si="0"/>
        <v>30</v>
      </c>
      <c r="F15" s="70">
        <f t="shared" si="0"/>
        <v>30</v>
      </c>
      <c r="G15" s="70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75</v>
      </c>
      <c r="D16" s="39">
        <f t="shared" ref="D16:G16" si="1">D6+D9+D12+D15</f>
        <v>87.5</v>
      </c>
      <c r="E16" s="39">
        <f t="shared" si="1"/>
        <v>87.5</v>
      </c>
      <c r="F16" s="39">
        <f t="shared" si="1"/>
        <v>87.5</v>
      </c>
      <c r="G16" s="39">
        <f t="shared" si="1"/>
        <v>75</v>
      </c>
      <c r="H16" s="1"/>
    </row>
    <row r="17" spans="2:8" ht="18.75" x14ac:dyDescent="0.3">
      <c r="B17" s="37" t="s">
        <v>55</v>
      </c>
      <c r="C17" s="40" t="s">
        <v>135</v>
      </c>
      <c r="D17" s="40" t="s">
        <v>134</v>
      </c>
      <c r="E17" s="40" t="s">
        <v>134</v>
      </c>
      <c r="F17" s="40" t="s">
        <v>134</v>
      </c>
      <c r="G17" s="40" t="s">
        <v>135</v>
      </c>
      <c r="H17" s="1"/>
    </row>
    <row r="18" spans="2:8" ht="33.75" x14ac:dyDescent="0.3">
      <c r="B18" s="53" t="s">
        <v>54</v>
      </c>
      <c r="C18" s="215">
        <f>(C16+D16+E16+F16+G16)/5</f>
        <v>82.5</v>
      </c>
      <c r="D18" s="216"/>
      <c r="E18" s="216"/>
      <c r="F18" s="216"/>
      <c r="G18" s="217"/>
      <c r="H18" s="1"/>
    </row>
    <row r="19" spans="2:8" ht="93.75" x14ac:dyDescent="0.3">
      <c r="B19" s="38" t="s">
        <v>57</v>
      </c>
      <c r="C19" s="48">
        <f>100-C16</f>
        <v>25</v>
      </c>
      <c r="D19" s="48">
        <f t="shared" ref="D19:G19" si="2">100-D16</f>
        <v>12.5</v>
      </c>
      <c r="E19" s="48">
        <f t="shared" si="2"/>
        <v>12.5</v>
      </c>
      <c r="F19" s="48">
        <f t="shared" si="2"/>
        <v>12.5</v>
      </c>
      <c r="G19" s="48">
        <f t="shared" si="2"/>
        <v>25</v>
      </c>
      <c r="H19" s="1"/>
    </row>
    <row r="20" spans="2:8" ht="72" customHeight="1" x14ac:dyDescent="0.3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ht="16.5" x14ac:dyDescent="0.25">
      <c r="B22" s="71" t="s">
        <v>129</v>
      </c>
      <c r="C22" s="71"/>
      <c r="D22" s="71"/>
      <c r="E22" s="71"/>
      <c r="F22" s="71"/>
      <c r="G22" s="71" t="s">
        <v>118</v>
      </c>
    </row>
    <row r="23" spans="2:8" ht="16.5" x14ac:dyDescent="0.25">
      <c r="B23" s="71"/>
      <c r="C23" s="71"/>
      <c r="D23" s="71"/>
      <c r="E23" s="71"/>
      <c r="F23" s="71"/>
      <c r="G23" s="71"/>
    </row>
    <row r="24" spans="2:8" ht="16.5" x14ac:dyDescent="0.25">
      <c r="B24" s="71" t="s">
        <v>130</v>
      </c>
      <c r="C24" s="71"/>
      <c r="D24" s="71"/>
      <c r="E24" s="71"/>
      <c r="F24" s="71"/>
      <c r="G24" s="71"/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zoomScale="70" zoomScaleNormal="70" workbookViewId="0">
      <pane ySplit="2" topLeftCell="A57" activePane="bottomLeft" state="frozen"/>
      <selection pane="bottomLeft" activeCell="F8" sqref="F8"/>
    </sheetView>
  </sheetViews>
  <sheetFormatPr defaultRowHeight="15" x14ac:dyDescent="0.25"/>
  <cols>
    <col min="1" max="1" width="1.5703125" customWidth="1"/>
    <col min="2" max="2" width="60.5703125" customWidth="1"/>
    <col min="3" max="7" width="25.85546875" customWidth="1"/>
  </cols>
  <sheetData>
    <row r="1" spans="2:8" ht="61.5" customHeight="1" x14ac:dyDescent="0.25">
      <c r="B1" s="208" t="s">
        <v>136</v>
      </c>
      <c r="C1" s="208"/>
      <c r="D1" s="208"/>
      <c r="E1" s="208"/>
      <c r="F1" s="208"/>
      <c r="G1" s="208"/>
    </row>
    <row r="2" spans="2:8" ht="48" x14ac:dyDescent="0.3">
      <c r="B2" s="9" t="s">
        <v>0</v>
      </c>
      <c r="C2" s="7" t="s">
        <v>1</v>
      </c>
      <c r="D2" s="61" t="s">
        <v>2</v>
      </c>
      <c r="E2" s="62" t="s">
        <v>3</v>
      </c>
      <c r="F2" s="62" t="s">
        <v>4</v>
      </c>
      <c r="G2" s="62" t="s">
        <v>5</v>
      </c>
      <c r="H2" s="1"/>
    </row>
    <row r="3" spans="2:8" ht="18.75" x14ac:dyDescent="0.3">
      <c r="B3" s="209" t="s">
        <v>120</v>
      </c>
      <c r="C3" s="209"/>
      <c r="D3" s="209"/>
      <c r="E3" s="209"/>
      <c r="F3" s="209"/>
      <c r="G3" s="209"/>
      <c r="H3" s="1"/>
    </row>
    <row r="4" spans="2:8" ht="31.5" x14ac:dyDescent="0.3">
      <c r="B4" s="2" t="s">
        <v>31</v>
      </c>
      <c r="C4" s="8">
        <f>20*92.2/100</f>
        <v>18.440000000000001</v>
      </c>
      <c r="D4" s="16">
        <f>20*0.5/100</f>
        <v>0.1</v>
      </c>
      <c r="E4" s="16">
        <f>20*100/100</f>
        <v>20</v>
      </c>
      <c r="F4" s="16">
        <f>20*97.1/100</f>
        <v>19.420000000000002</v>
      </c>
      <c r="G4" s="16">
        <f>20*99.9/100</f>
        <v>19.98</v>
      </c>
      <c r="H4" s="1"/>
    </row>
    <row r="5" spans="2:8" ht="18.75" x14ac:dyDescent="0.3">
      <c r="B5" s="11" t="s">
        <v>6</v>
      </c>
      <c r="C5" s="72" t="s">
        <v>138</v>
      </c>
      <c r="D5" s="72" t="s">
        <v>137</v>
      </c>
      <c r="E5" s="81" t="s">
        <v>176</v>
      </c>
      <c r="F5" s="72" t="s">
        <v>139</v>
      </c>
      <c r="G5" s="72" t="s">
        <v>140</v>
      </c>
      <c r="H5" s="1"/>
    </row>
    <row r="6" spans="2:8" ht="18.75" x14ac:dyDescent="0.3">
      <c r="B6" s="12" t="s">
        <v>119</v>
      </c>
      <c r="C6" s="66">
        <f>25*C4/100</f>
        <v>4.6100000000000003</v>
      </c>
      <c r="D6" s="66">
        <f>25*D4/100</f>
        <v>2.5000000000000001E-2</v>
      </c>
      <c r="E6" s="66">
        <f>25*E4/100</f>
        <v>5</v>
      </c>
      <c r="F6" s="66">
        <f>25*F4/100</f>
        <v>4.8550000000000004</v>
      </c>
      <c r="G6" s="66">
        <f>25*G4/100</f>
        <v>4.9950000000000001</v>
      </c>
      <c r="H6" s="1"/>
    </row>
    <row r="7" spans="2:8" ht="63" x14ac:dyDescent="0.3">
      <c r="B7" s="2" t="s">
        <v>32</v>
      </c>
      <c r="C7" s="8">
        <f>20*3.05/100</f>
        <v>0.61</v>
      </c>
      <c r="D7" s="17">
        <f>20*100/100</f>
        <v>20</v>
      </c>
      <c r="E7" s="17">
        <f>20*100/100</f>
        <v>20</v>
      </c>
      <c r="F7" s="8">
        <f>20*89.1/100</f>
        <v>17.82</v>
      </c>
      <c r="G7" s="8">
        <f>20*79/100</f>
        <v>15.8</v>
      </c>
      <c r="H7" s="1"/>
    </row>
    <row r="8" spans="2:8" ht="63.75" x14ac:dyDescent="0.3">
      <c r="B8" s="11" t="s">
        <v>6</v>
      </c>
      <c r="C8" s="8" t="s">
        <v>159</v>
      </c>
      <c r="D8" s="17" t="s">
        <v>179</v>
      </c>
      <c r="E8" s="17" t="s">
        <v>180</v>
      </c>
      <c r="F8" s="76" t="s">
        <v>157</v>
      </c>
      <c r="G8" s="76" t="s">
        <v>158</v>
      </c>
      <c r="H8" s="1"/>
    </row>
    <row r="9" spans="2:8" ht="18.75" x14ac:dyDescent="0.3">
      <c r="B9" s="12" t="s">
        <v>119</v>
      </c>
      <c r="C9" s="66">
        <f>25*C7/100</f>
        <v>0.1525</v>
      </c>
      <c r="D9" s="59">
        <f>25*D7/100</f>
        <v>5</v>
      </c>
      <c r="E9" s="59">
        <f>25*E7/100</f>
        <v>5</v>
      </c>
      <c r="F9" s="66">
        <f>25*F7/100</f>
        <v>4.4550000000000001</v>
      </c>
      <c r="G9" s="59">
        <f>25*G7/100</f>
        <v>3.95</v>
      </c>
      <c r="H9" s="1"/>
    </row>
    <row r="10" spans="2:8" ht="63" x14ac:dyDescent="0.3">
      <c r="B10" s="6" t="s">
        <v>33</v>
      </c>
      <c r="C10" s="8">
        <f>20*3.05/100</f>
        <v>0.61</v>
      </c>
      <c r="D10" s="8">
        <f>20*100/100</f>
        <v>20</v>
      </c>
      <c r="E10" s="8">
        <f>20*100/100</f>
        <v>20</v>
      </c>
      <c r="F10" s="63">
        <f>20*97/100</f>
        <v>19.399999999999999</v>
      </c>
      <c r="G10" s="63">
        <f>20*100/100</f>
        <v>20</v>
      </c>
      <c r="H10" s="1"/>
    </row>
    <row r="11" spans="2:8" ht="45.75" x14ac:dyDescent="0.3">
      <c r="B11" s="12" t="s">
        <v>6</v>
      </c>
      <c r="C11" s="20" t="s">
        <v>159</v>
      </c>
      <c r="D11" s="82" t="s">
        <v>181</v>
      </c>
      <c r="E11" s="82" t="s">
        <v>181</v>
      </c>
      <c r="F11" s="76" t="s">
        <v>160</v>
      </c>
      <c r="G11" s="77" t="s">
        <v>161</v>
      </c>
      <c r="H11" s="1"/>
    </row>
    <row r="12" spans="2:8" ht="18.75" x14ac:dyDescent="0.3">
      <c r="B12" s="12" t="s">
        <v>119</v>
      </c>
      <c r="C12" s="84">
        <f>25*C10/100</f>
        <v>0.1525</v>
      </c>
      <c r="D12" s="59">
        <f>25*D10/100</f>
        <v>5</v>
      </c>
      <c r="E12" s="59">
        <f>25*E10/100</f>
        <v>5</v>
      </c>
      <c r="F12" s="59">
        <f>25*F10/100</f>
        <v>4.8499999999999996</v>
      </c>
      <c r="G12" s="59">
        <f>25*G10/100</f>
        <v>5</v>
      </c>
      <c r="H12" s="1"/>
    </row>
    <row r="13" spans="2:8" ht="47.25" x14ac:dyDescent="0.3">
      <c r="B13" s="2" t="s">
        <v>34</v>
      </c>
      <c r="C13" s="58">
        <v>0</v>
      </c>
      <c r="D13" s="58">
        <v>0</v>
      </c>
      <c r="E13" s="8">
        <v>1</v>
      </c>
      <c r="F13" s="8">
        <v>1</v>
      </c>
      <c r="G13" s="8">
        <v>1</v>
      </c>
      <c r="H13" s="1"/>
    </row>
    <row r="14" spans="2:8" ht="63.75" x14ac:dyDescent="0.3">
      <c r="B14" s="12" t="s">
        <v>8</v>
      </c>
      <c r="C14" s="79" t="s">
        <v>182</v>
      </c>
      <c r="D14" s="79" t="s">
        <v>182</v>
      </c>
      <c r="E14" s="17" t="s">
        <v>175</v>
      </c>
      <c r="F14" s="80" t="s">
        <v>183</v>
      </c>
      <c r="G14" s="80" t="s">
        <v>183</v>
      </c>
      <c r="H14" s="1"/>
    </row>
    <row r="15" spans="2:8" ht="18.75" x14ac:dyDescent="0.3">
      <c r="B15" s="12" t="s">
        <v>119</v>
      </c>
      <c r="C15" s="75">
        <f>25*C13/100</f>
        <v>0</v>
      </c>
      <c r="D15" s="75">
        <f>25*D13/100</f>
        <v>0</v>
      </c>
      <c r="E15" s="75">
        <f>25*E13/100</f>
        <v>0.25</v>
      </c>
      <c r="F15" s="75">
        <f t="shared" ref="F15:G15" si="0">25*F13/100</f>
        <v>0.25</v>
      </c>
      <c r="G15" s="75">
        <f t="shared" si="0"/>
        <v>0.25</v>
      </c>
      <c r="H15" s="1"/>
    </row>
    <row r="16" spans="2:8" ht="31.5" x14ac:dyDescent="0.3">
      <c r="B16" s="2" t="s">
        <v>35</v>
      </c>
      <c r="C16" s="19">
        <f>1*20*99.8/100</f>
        <v>19.96</v>
      </c>
      <c r="D16" s="19">
        <f>1*20*100/100</f>
        <v>20</v>
      </c>
      <c r="E16" s="19">
        <f>1*20*100/100</f>
        <v>20</v>
      </c>
      <c r="F16" s="19">
        <f>1*20*99.3/100</f>
        <v>19.86</v>
      </c>
      <c r="G16" s="19">
        <f>1*20*99.9/100</f>
        <v>19.98</v>
      </c>
      <c r="H16" s="1"/>
    </row>
    <row r="17" spans="2:8" ht="18.75" x14ac:dyDescent="0.3">
      <c r="B17" s="12" t="s">
        <v>6</v>
      </c>
      <c r="C17" s="58" t="s">
        <v>165</v>
      </c>
      <c r="D17" s="59" t="s">
        <v>174</v>
      </c>
      <c r="E17" s="59" t="s">
        <v>164</v>
      </c>
      <c r="F17" s="8" t="s">
        <v>163</v>
      </c>
      <c r="G17" s="59" t="s">
        <v>162</v>
      </c>
      <c r="H17" s="1"/>
    </row>
    <row r="18" spans="2:8" ht="18.75" x14ac:dyDescent="0.3">
      <c r="B18" s="12" t="s">
        <v>119</v>
      </c>
      <c r="C18" s="66">
        <f>25*C16/100</f>
        <v>4.99</v>
      </c>
      <c r="D18" s="66">
        <f t="shared" ref="D18:F18" si="1">25*D16/100</f>
        <v>5</v>
      </c>
      <c r="E18" s="66">
        <f t="shared" si="1"/>
        <v>5</v>
      </c>
      <c r="F18" s="66">
        <f t="shared" si="1"/>
        <v>4.9649999999999999</v>
      </c>
      <c r="G18" s="66">
        <f>25*G16/100</f>
        <v>4.9950000000000001</v>
      </c>
      <c r="H18" s="1"/>
    </row>
    <row r="19" spans="2:8" ht="18.75" x14ac:dyDescent="0.3">
      <c r="B19" s="210" t="s">
        <v>121</v>
      </c>
      <c r="C19" s="211"/>
      <c r="D19" s="211"/>
      <c r="E19" s="211"/>
      <c r="F19" s="211"/>
      <c r="G19" s="212"/>
      <c r="H19" s="1"/>
    </row>
    <row r="20" spans="2:8" ht="48" x14ac:dyDescent="0.3">
      <c r="B20" s="2" t="s">
        <v>36</v>
      </c>
      <c r="C20" s="25" t="s">
        <v>142</v>
      </c>
      <c r="D20" s="17" t="s">
        <v>144</v>
      </c>
      <c r="E20" s="17" t="s">
        <v>146</v>
      </c>
      <c r="F20" s="17" t="s">
        <v>148</v>
      </c>
      <c r="G20" s="33" t="s">
        <v>150</v>
      </c>
      <c r="H20" s="1"/>
    </row>
    <row r="21" spans="2:8" ht="60.75" x14ac:dyDescent="0.3">
      <c r="B21" s="12" t="s">
        <v>9</v>
      </c>
      <c r="C21" s="73" t="s">
        <v>141</v>
      </c>
      <c r="D21" s="74" t="s">
        <v>143</v>
      </c>
      <c r="E21" s="74" t="s">
        <v>145</v>
      </c>
      <c r="F21" s="74" t="s">
        <v>147</v>
      </c>
      <c r="G21" s="74" t="s">
        <v>149</v>
      </c>
      <c r="H21" s="1"/>
    </row>
    <row r="22" spans="2:8" ht="18.75" x14ac:dyDescent="0.3">
      <c r="B22" s="12" t="s">
        <v>119</v>
      </c>
      <c r="C22" s="59">
        <f>25*10/100</f>
        <v>2.5</v>
      </c>
      <c r="D22" s="59">
        <f>25*20/100</f>
        <v>5</v>
      </c>
      <c r="E22" s="59">
        <f>25*20/100</f>
        <v>5</v>
      </c>
      <c r="F22" s="59">
        <f>25*20/100</f>
        <v>5</v>
      </c>
      <c r="G22" s="59">
        <f>25*10/100</f>
        <v>2.5</v>
      </c>
      <c r="H22" s="1"/>
    </row>
    <row r="23" spans="2:8" ht="47.25" x14ac:dyDescent="0.3">
      <c r="B23" s="4" t="s">
        <v>37</v>
      </c>
      <c r="C23" s="17">
        <f>10*2.6/100</f>
        <v>0.26</v>
      </c>
      <c r="D23" s="17" t="s">
        <v>67</v>
      </c>
      <c r="E23" s="17" t="s">
        <v>67</v>
      </c>
      <c r="F23" s="17" t="s">
        <v>67</v>
      </c>
      <c r="G23" s="17">
        <f>10*1.5/100</f>
        <v>0.15</v>
      </c>
      <c r="H23" s="1"/>
    </row>
    <row r="24" spans="2:8" ht="48" x14ac:dyDescent="0.3">
      <c r="B24" s="11" t="s">
        <v>6</v>
      </c>
      <c r="C24" s="17" t="s">
        <v>151</v>
      </c>
      <c r="D24" s="17" t="s">
        <v>15</v>
      </c>
      <c r="E24" s="17" t="s">
        <v>15</v>
      </c>
      <c r="F24" s="17" t="s">
        <v>15</v>
      </c>
      <c r="G24" s="17" t="s">
        <v>152</v>
      </c>
      <c r="H24" s="1"/>
    </row>
    <row r="25" spans="2:8" ht="18.75" x14ac:dyDescent="0.3">
      <c r="B25" s="12" t="s">
        <v>119</v>
      </c>
      <c r="C25" s="66">
        <f>C23*25/100</f>
        <v>6.5000000000000002E-2</v>
      </c>
      <c r="D25" s="59">
        <f t="shared" ref="D25:F25" si="2">0*25/100</f>
        <v>0</v>
      </c>
      <c r="E25" s="59">
        <f t="shared" si="2"/>
        <v>0</v>
      </c>
      <c r="F25" s="59">
        <f t="shared" si="2"/>
        <v>0</v>
      </c>
      <c r="G25" s="66">
        <f>G23*25/100</f>
        <v>3.7499999999999999E-2</v>
      </c>
      <c r="H25" s="1"/>
    </row>
    <row r="26" spans="2:8" ht="47.25" x14ac:dyDescent="0.3">
      <c r="B26" s="65" t="s">
        <v>38</v>
      </c>
      <c r="C26" s="59">
        <f>10*92.1/100</f>
        <v>9.2100000000000009</v>
      </c>
      <c r="D26" s="17" t="s">
        <v>67</v>
      </c>
      <c r="E26" s="17" t="s">
        <v>67</v>
      </c>
      <c r="F26" s="8">
        <f>10*107.8/100</f>
        <v>10.78</v>
      </c>
      <c r="G26" s="8">
        <f>10*99.9/100</f>
        <v>9.99</v>
      </c>
      <c r="H26" s="1"/>
    </row>
    <row r="27" spans="2:8" ht="48" x14ac:dyDescent="0.3">
      <c r="B27" s="12" t="s">
        <v>6</v>
      </c>
      <c r="C27" s="8" t="s">
        <v>153</v>
      </c>
      <c r="D27" s="17" t="s">
        <v>16</v>
      </c>
      <c r="E27" s="17" t="s">
        <v>16</v>
      </c>
      <c r="F27" s="17" t="s">
        <v>184</v>
      </c>
      <c r="G27" s="17" t="s">
        <v>154</v>
      </c>
      <c r="H27" s="1"/>
    </row>
    <row r="28" spans="2:8" ht="18.75" x14ac:dyDescent="0.3">
      <c r="B28" s="12" t="s">
        <v>119</v>
      </c>
      <c r="C28" s="66">
        <f>C26*25/100</f>
        <v>2.3025000000000002</v>
      </c>
      <c r="D28" s="59">
        <f>0*25/100</f>
        <v>0</v>
      </c>
      <c r="E28" s="59">
        <f>0*25/100</f>
        <v>0</v>
      </c>
      <c r="F28" s="66">
        <f>F26*25/100</f>
        <v>2.6949999999999998</v>
      </c>
      <c r="G28" s="66">
        <f>G26*25/100</f>
        <v>2.4975000000000001</v>
      </c>
      <c r="H28" s="1"/>
    </row>
    <row r="29" spans="2:8" ht="18.75" x14ac:dyDescent="0.3">
      <c r="B29" s="5" t="s">
        <v>39</v>
      </c>
      <c r="C29" s="59" t="s">
        <v>67</v>
      </c>
      <c r="D29" s="59" t="s">
        <v>67</v>
      </c>
      <c r="E29" s="59" t="s">
        <v>156</v>
      </c>
      <c r="F29" s="59" t="s">
        <v>67</v>
      </c>
      <c r="G29" s="59" t="s">
        <v>67</v>
      </c>
      <c r="H29" s="1"/>
    </row>
    <row r="30" spans="2:8" ht="32.25" x14ac:dyDescent="0.3">
      <c r="B30" s="12" t="s">
        <v>6</v>
      </c>
      <c r="C30" s="60" t="s">
        <v>21</v>
      </c>
      <c r="D30" s="60" t="s">
        <v>21</v>
      </c>
      <c r="E30" s="60" t="s">
        <v>155</v>
      </c>
      <c r="F30" s="60" t="s">
        <v>21</v>
      </c>
      <c r="G30" s="60" t="s">
        <v>21</v>
      </c>
      <c r="H30" s="1"/>
    </row>
    <row r="31" spans="2:8" ht="18.75" x14ac:dyDescent="0.3">
      <c r="B31" s="12" t="s">
        <v>119</v>
      </c>
      <c r="C31" s="85">
        <f>0*25/100</f>
        <v>0</v>
      </c>
      <c r="D31" s="85">
        <f t="shared" ref="D31:G31" si="3">0*25/100</f>
        <v>0</v>
      </c>
      <c r="E31" s="86">
        <f>0.5*25/100</f>
        <v>0.125</v>
      </c>
      <c r="F31" s="85">
        <f t="shared" si="3"/>
        <v>0</v>
      </c>
      <c r="G31" s="85">
        <f t="shared" si="3"/>
        <v>0</v>
      </c>
      <c r="H31" s="1"/>
    </row>
    <row r="32" spans="2:8" ht="47.25" x14ac:dyDescent="0.3">
      <c r="B32" s="6" t="s">
        <v>40</v>
      </c>
      <c r="C32" s="85">
        <f>1*20</f>
        <v>20</v>
      </c>
      <c r="D32" s="85">
        <f t="shared" ref="D32:G32" si="4">1*20</f>
        <v>20</v>
      </c>
      <c r="E32" s="85">
        <f t="shared" si="4"/>
        <v>20</v>
      </c>
      <c r="F32" s="85">
        <f t="shared" si="4"/>
        <v>20</v>
      </c>
      <c r="G32" s="85">
        <f t="shared" si="4"/>
        <v>20</v>
      </c>
      <c r="H32" s="1"/>
    </row>
    <row r="33" spans="2:8" ht="48" x14ac:dyDescent="0.3">
      <c r="B33" s="12" t="s">
        <v>6</v>
      </c>
      <c r="C33" s="60" t="s">
        <v>68</v>
      </c>
      <c r="D33" s="60" t="s">
        <v>84</v>
      </c>
      <c r="E33" s="60" t="s">
        <v>84</v>
      </c>
      <c r="F33" s="60" t="s">
        <v>84</v>
      </c>
      <c r="G33" s="60" t="s">
        <v>84</v>
      </c>
      <c r="H33" s="1"/>
    </row>
    <row r="34" spans="2:8" ht="18.75" x14ac:dyDescent="0.3">
      <c r="B34" s="12" t="s">
        <v>119</v>
      </c>
      <c r="C34" s="85">
        <f>25*C32/100</f>
        <v>5</v>
      </c>
      <c r="D34" s="85">
        <f t="shared" ref="D34:G34" si="5">25*D32/100</f>
        <v>5</v>
      </c>
      <c r="E34" s="85">
        <f t="shared" si="5"/>
        <v>5</v>
      </c>
      <c r="F34" s="85">
        <f t="shared" si="5"/>
        <v>5</v>
      </c>
      <c r="G34" s="85">
        <f t="shared" si="5"/>
        <v>5</v>
      </c>
      <c r="H34" s="1"/>
    </row>
    <row r="35" spans="2:8" ht="47.25" x14ac:dyDescent="0.3">
      <c r="B35" s="2" t="s">
        <v>41</v>
      </c>
      <c r="C35" s="59">
        <f>1*20</f>
        <v>20</v>
      </c>
      <c r="D35" s="59">
        <f t="shared" ref="D35:G35" si="6">1*20</f>
        <v>20</v>
      </c>
      <c r="E35" s="59">
        <f>1*20</f>
        <v>20</v>
      </c>
      <c r="F35" s="59">
        <f t="shared" si="6"/>
        <v>20</v>
      </c>
      <c r="G35" s="59">
        <f t="shared" si="6"/>
        <v>20</v>
      </c>
      <c r="H35" s="1"/>
    </row>
    <row r="36" spans="2:8" ht="48" x14ac:dyDescent="0.3">
      <c r="B36" s="11" t="s">
        <v>6</v>
      </c>
      <c r="C36" s="28" t="s">
        <v>69</v>
      </c>
      <c r="D36" s="28" t="s">
        <v>69</v>
      </c>
      <c r="E36" s="28" t="s">
        <v>69</v>
      </c>
      <c r="F36" s="17" t="s">
        <v>69</v>
      </c>
      <c r="G36" s="28" t="s">
        <v>69</v>
      </c>
      <c r="H36" s="1"/>
    </row>
    <row r="37" spans="2:8" ht="18.75" x14ac:dyDescent="0.3">
      <c r="B37" s="87" t="s">
        <v>119</v>
      </c>
      <c r="C37" s="59">
        <f>25*C35/100</f>
        <v>5</v>
      </c>
      <c r="D37" s="59">
        <f t="shared" ref="D37:G37" si="7">25*D35/100</f>
        <v>5</v>
      </c>
      <c r="E37" s="59">
        <f t="shared" si="7"/>
        <v>5</v>
      </c>
      <c r="F37" s="59">
        <f t="shared" si="7"/>
        <v>5</v>
      </c>
      <c r="G37" s="59">
        <f t="shared" si="7"/>
        <v>5</v>
      </c>
      <c r="H37" s="1"/>
    </row>
    <row r="38" spans="2:8" ht="18.75" x14ac:dyDescent="0.3">
      <c r="B38" s="218" t="s">
        <v>122</v>
      </c>
      <c r="C38" s="218"/>
      <c r="D38" s="218"/>
      <c r="E38" s="218"/>
      <c r="F38" s="218"/>
      <c r="G38" s="218"/>
      <c r="H38" s="1"/>
    </row>
    <row r="39" spans="2:8" ht="63" x14ac:dyDescent="0.3">
      <c r="B39" s="88" t="s">
        <v>42</v>
      </c>
      <c r="C39" s="89">
        <f>0.8*35</f>
        <v>28</v>
      </c>
      <c r="D39" s="89">
        <f t="shared" ref="D39:E39" si="8">1*35</f>
        <v>35</v>
      </c>
      <c r="E39" s="89">
        <f t="shared" si="8"/>
        <v>35</v>
      </c>
      <c r="F39" s="89">
        <v>28</v>
      </c>
      <c r="G39" s="89">
        <v>28</v>
      </c>
      <c r="H39" s="1"/>
    </row>
    <row r="40" spans="2:8" ht="67.5" customHeight="1" x14ac:dyDescent="0.3">
      <c r="B40" s="87" t="s">
        <v>6</v>
      </c>
      <c r="C40" s="90" t="s">
        <v>166</v>
      </c>
      <c r="D40" s="90" t="s">
        <v>70</v>
      </c>
      <c r="E40" s="90" t="s">
        <v>70</v>
      </c>
      <c r="F40" s="90" t="s">
        <v>166</v>
      </c>
      <c r="G40" s="90" t="s">
        <v>166</v>
      </c>
      <c r="H40" s="1"/>
    </row>
    <row r="41" spans="2:8" ht="18.75" x14ac:dyDescent="0.3">
      <c r="B41" s="87" t="s">
        <v>119</v>
      </c>
      <c r="C41" s="89">
        <f>16*C39/100</f>
        <v>4.4800000000000004</v>
      </c>
      <c r="D41" s="89">
        <f t="shared" ref="D41:G41" si="9">16*D39/100</f>
        <v>5.6</v>
      </c>
      <c r="E41" s="89">
        <f t="shared" si="9"/>
        <v>5.6</v>
      </c>
      <c r="F41" s="89">
        <f t="shared" si="9"/>
        <v>4.4800000000000004</v>
      </c>
      <c r="G41" s="89">
        <f t="shared" si="9"/>
        <v>4.4800000000000004</v>
      </c>
      <c r="H41" s="1"/>
    </row>
    <row r="42" spans="2:8" ht="47.25" x14ac:dyDescent="0.3">
      <c r="B42" s="30" t="s">
        <v>43</v>
      </c>
      <c r="C42" s="31">
        <f>1*35</f>
        <v>35</v>
      </c>
      <c r="D42" s="31">
        <f t="shared" ref="D42:G42" si="10">1*35</f>
        <v>35</v>
      </c>
      <c r="E42" s="31">
        <f t="shared" si="10"/>
        <v>35</v>
      </c>
      <c r="F42" s="31">
        <f t="shared" si="10"/>
        <v>35</v>
      </c>
      <c r="G42" s="31">
        <f t="shared" si="10"/>
        <v>35</v>
      </c>
      <c r="H42" s="1"/>
    </row>
    <row r="43" spans="2:8" ht="48" x14ac:dyDescent="0.3">
      <c r="B43" s="12" t="s">
        <v>6</v>
      </c>
      <c r="C43" s="17" t="s">
        <v>71</v>
      </c>
      <c r="D43" s="17" t="s">
        <v>71</v>
      </c>
      <c r="E43" s="17" t="s">
        <v>71</v>
      </c>
      <c r="F43" s="17" t="s">
        <v>71</v>
      </c>
      <c r="G43" s="17" t="s">
        <v>71</v>
      </c>
      <c r="H43" s="1"/>
    </row>
    <row r="44" spans="2:8" ht="18.75" x14ac:dyDescent="0.3">
      <c r="B44" s="12" t="s">
        <v>119</v>
      </c>
      <c r="C44" s="58">
        <f>16*C42/100</f>
        <v>5.6</v>
      </c>
      <c r="D44" s="58">
        <f t="shared" ref="D44:G44" si="11">16*D42/100</f>
        <v>5.6</v>
      </c>
      <c r="E44" s="58">
        <f t="shared" si="11"/>
        <v>5.6</v>
      </c>
      <c r="F44" s="58">
        <f t="shared" si="11"/>
        <v>5.6</v>
      </c>
      <c r="G44" s="58">
        <f t="shared" si="11"/>
        <v>5.6</v>
      </c>
      <c r="H44" s="1"/>
    </row>
    <row r="45" spans="2:8" ht="47.25" x14ac:dyDescent="0.3">
      <c r="B45" s="2" t="s">
        <v>44</v>
      </c>
      <c r="C45" s="58">
        <f>0*15</f>
        <v>0</v>
      </c>
      <c r="D45" s="58">
        <f t="shared" ref="D45:G45" si="12">0*15</f>
        <v>0</v>
      </c>
      <c r="E45" s="58">
        <f t="shared" si="12"/>
        <v>0</v>
      </c>
      <c r="F45" s="58">
        <f t="shared" si="12"/>
        <v>0</v>
      </c>
      <c r="G45" s="58">
        <f t="shared" si="12"/>
        <v>0</v>
      </c>
      <c r="H45" s="1"/>
    </row>
    <row r="46" spans="2:8" ht="95.25" x14ac:dyDescent="0.3">
      <c r="B46" s="12" t="s">
        <v>6</v>
      </c>
      <c r="C46" s="91" t="s">
        <v>72</v>
      </c>
      <c r="D46" s="92" t="s">
        <v>72</v>
      </c>
      <c r="E46" s="91" t="s">
        <v>72</v>
      </c>
      <c r="F46" s="92" t="s">
        <v>72</v>
      </c>
      <c r="G46" s="91" t="s">
        <v>72</v>
      </c>
      <c r="H46" s="1"/>
    </row>
    <row r="47" spans="2:8" ht="18.75" x14ac:dyDescent="0.3">
      <c r="B47" s="12" t="s">
        <v>119</v>
      </c>
      <c r="C47" s="59">
        <f>16*C45/100</f>
        <v>0</v>
      </c>
      <c r="D47" s="59">
        <f t="shared" ref="D47:G47" si="13">16*D45/100</f>
        <v>0</v>
      </c>
      <c r="E47" s="59">
        <f t="shared" si="13"/>
        <v>0</v>
      </c>
      <c r="F47" s="59">
        <f t="shared" si="13"/>
        <v>0</v>
      </c>
      <c r="G47" s="59">
        <f t="shared" si="13"/>
        <v>0</v>
      </c>
      <c r="H47" s="1"/>
    </row>
    <row r="48" spans="2:8" ht="78.75" x14ac:dyDescent="0.3">
      <c r="B48" s="6" t="s">
        <v>45</v>
      </c>
      <c r="C48" s="8">
        <v>15</v>
      </c>
      <c r="D48" s="8">
        <f t="shared" ref="D48:E48" si="14">1*15</f>
        <v>15</v>
      </c>
      <c r="E48" s="8">
        <f t="shared" si="14"/>
        <v>15</v>
      </c>
      <c r="F48" s="8">
        <f>0.5*15</f>
        <v>7.5</v>
      </c>
      <c r="G48" s="8">
        <f>0.5*15</f>
        <v>7.5</v>
      </c>
      <c r="H48" s="1"/>
    </row>
    <row r="49" spans="1:8" ht="48" x14ac:dyDescent="0.3">
      <c r="B49" s="12" t="s">
        <v>6</v>
      </c>
      <c r="C49" s="17" t="s">
        <v>73</v>
      </c>
      <c r="D49" s="17" t="s">
        <v>73</v>
      </c>
      <c r="E49" s="17" t="s">
        <v>73</v>
      </c>
      <c r="F49" s="17" t="s">
        <v>178</v>
      </c>
      <c r="G49" s="17" t="s">
        <v>177</v>
      </c>
      <c r="H49" s="1"/>
    </row>
    <row r="50" spans="1:8" ht="18.75" x14ac:dyDescent="0.3">
      <c r="B50" s="12" t="s">
        <v>119</v>
      </c>
      <c r="C50" s="59">
        <f>16*C48/100</f>
        <v>2.4</v>
      </c>
      <c r="D50" s="59">
        <f t="shared" ref="D50:G50" si="15">16*D48/100</f>
        <v>2.4</v>
      </c>
      <c r="E50" s="59">
        <f t="shared" si="15"/>
        <v>2.4</v>
      </c>
      <c r="F50" s="59">
        <f t="shared" si="15"/>
        <v>1.2</v>
      </c>
      <c r="G50" s="59">
        <f t="shared" si="15"/>
        <v>1.2</v>
      </c>
      <c r="H50" s="1"/>
    </row>
    <row r="51" spans="1:8" ht="19.5" thickBot="1" x14ac:dyDescent="0.35">
      <c r="B51" s="213" t="s">
        <v>123</v>
      </c>
      <c r="C51" s="211"/>
      <c r="D51" s="211"/>
      <c r="E51" s="211"/>
      <c r="F51" s="211"/>
      <c r="G51" s="212"/>
      <c r="H51" s="1"/>
    </row>
    <row r="52" spans="1:8" ht="31.5" x14ac:dyDescent="0.3">
      <c r="B52" s="3" t="s">
        <v>46</v>
      </c>
      <c r="C52" s="8">
        <f>1*10</f>
        <v>10</v>
      </c>
      <c r="D52" s="8">
        <f t="shared" ref="D52:E52" si="16">1*10</f>
        <v>10</v>
      </c>
      <c r="E52" s="8">
        <f t="shared" si="16"/>
        <v>10</v>
      </c>
      <c r="F52" s="8">
        <f>0*10</f>
        <v>0</v>
      </c>
      <c r="G52" s="8">
        <f>1*10</f>
        <v>10</v>
      </c>
      <c r="H52" s="1"/>
    </row>
    <row r="53" spans="1:8" ht="78.75" x14ac:dyDescent="0.3">
      <c r="B53" s="78" t="s">
        <v>173</v>
      </c>
      <c r="C53" s="33" t="s">
        <v>167</v>
      </c>
      <c r="D53" s="33" t="s">
        <v>168</v>
      </c>
      <c r="E53" s="33" t="s">
        <v>169</v>
      </c>
      <c r="F53" s="33" t="s">
        <v>99</v>
      </c>
      <c r="G53" s="33" t="s">
        <v>168</v>
      </c>
      <c r="H53" s="1"/>
    </row>
    <row r="54" spans="1:8" ht="18.75" x14ac:dyDescent="0.3">
      <c r="B54" s="12" t="s">
        <v>119</v>
      </c>
      <c r="C54" s="59">
        <f>16*C52/100</f>
        <v>1.6</v>
      </c>
      <c r="D54" s="59">
        <f t="shared" ref="D54:G54" si="17">16*D52/100</f>
        <v>1.6</v>
      </c>
      <c r="E54" s="59">
        <f t="shared" si="17"/>
        <v>1.6</v>
      </c>
      <c r="F54" s="59">
        <f t="shared" si="17"/>
        <v>0</v>
      </c>
      <c r="G54" s="59">
        <f t="shared" si="17"/>
        <v>1.6</v>
      </c>
      <c r="H54" s="1"/>
    </row>
    <row r="55" spans="1:8" ht="31.5" x14ac:dyDescent="0.3">
      <c r="A55" t="s">
        <v>22</v>
      </c>
      <c r="B55" s="6" t="s">
        <v>47</v>
      </c>
      <c r="C55" s="8">
        <f>1*60</f>
        <v>60</v>
      </c>
      <c r="D55" s="8">
        <f t="shared" ref="D55:G55" si="18">0*60</f>
        <v>0</v>
      </c>
      <c r="E55" s="8">
        <f t="shared" si="18"/>
        <v>0</v>
      </c>
      <c r="F55" s="8">
        <f t="shared" si="18"/>
        <v>0</v>
      </c>
      <c r="G55" s="8">
        <f t="shared" si="18"/>
        <v>0</v>
      </c>
      <c r="H55" s="1"/>
    </row>
    <row r="56" spans="1:8" ht="48" x14ac:dyDescent="0.3">
      <c r="B56" s="12" t="s">
        <v>6</v>
      </c>
      <c r="C56" s="25" t="s">
        <v>170</v>
      </c>
      <c r="D56" s="34" t="s">
        <v>88</v>
      </c>
      <c r="E56" s="34" t="s">
        <v>89</v>
      </c>
      <c r="F56" s="33" t="s">
        <v>74</v>
      </c>
      <c r="G56" s="25" t="s">
        <v>74</v>
      </c>
      <c r="H56" s="1"/>
    </row>
    <row r="57" spans="1:8" ht="18.75" x14ac:dyDescent="0.3">
      <c r="B57" s="12" t="s">
        <v>119</v>
      </c>
      <c r="C57" s="58">
        <f>16*C55/100</f>
        <v>9.6</v>
      </c>
      <c r="D57" s="58">
        <f t="shared" ref="D57:G57" si="19">16*D55/100</f>
        <v>0</v>
      </c>
      <c r="E57" s="58">
        <f t="shared" si="19"/>
        <v>0</v>
      </c>
      <c r="F57" s="58">
        <f t="shared" si="19"/>
        <v>0</v>
      </c>
      <c r="G57" s="58">
        <f t="shared" si="19"/>
        <v>0</v>
      </c>
      <c r="H57" s="1"/>
    </row>
    <row r="58" spans="1:8" ht="18.75" x14ac:dyDescent="0.3">
      <c r="B58" s="2" t="s">
        <v>48</v>
      </c>
      <c r="C58" s="58">
        <f>1*15</f>
        <v>15</v>
      </c>
      <c r="D58" s="58">
        <f t="shared" ref="D58:G58" si="20">1*15</f>
        <v>15</v>
      </c>
      <c r="E58" s="58">
        <f t="shared" si="20"/>
        <v>15</v>
      </c>
      <c r="F58" s="58">
        <f t="shared" si="20"/>
        <v>15</v>
      </c>
      <c r="G58" s="58">
        <f t="shared" si="20"/>
        <v>15</v>
      </c>
      <c r="H58" s="1"/>
    </row>
    <row r="59" spans="1:8" ht="32.25" x14ac:dyDescent="0.3">
      <c r="B59" s="12" t="s">
        <v>172</v>
      </c>
      <c r="C59" s="93" t="s">
        <v>75</v>
      </c>
      <c r="D59" s="92" t="s">
        <v>75</v>
      </c>
      <c r="E59" s="93" t="s">
        <v>75</v>
      </c>
      <c r="F59" s="92" t="s">
        <v>75</v>
      </c>
      <c r="G59" s="93" t="s">
        <v>75</v>
      </c>
      <c r="H59" s="1"/>
    </row>
    <row r="60" spans="1:8" ht="18.75" x14ac:dyDescent="0.3">
      <c r="B60" s="12" t="s">
        <v>119</v>
      </c>
      <c r="C60" s="58">
        <f>16*C58/100</f>
        <v>2.4</v>
      </c>
      <c r="D60" s="58">
        <f t="shared" ref="D60:G60" si="21">16*D58/100</f>
        <v>2.4</v>
      </c>
      <c r="E60" s="58">
        <f t="shared" si="21"/>
        <v>2.4</v>
      </c>
      <c r="F60" s="58">
        <f t="shared" si="21"/>
        <v>2.4</v>
      </c>
      <c r="G60" s="58">
        <f t="shared" si="21"/>
        <v>2.4</v>
      </c>
      <c r="H60" s="1"/>
    </row>
    <row r="61" spans="1:8" ht="32.25" x14ac:dyDescent="0.3">
      <c r="B61" s="7" t="s">
        <v>49</v>
      </c>
      <c r="C61" s="58">
        <f>1*15</f>
        <v>15</v>
      </c>
      <c r="D61" s="58">
        <f t="shared" ref="D61:G61" si="22">1*15</f>
        <v>15</v>
      </c>
      <c r="E61" s="58">
        <f t="shared" si="22"/>
        <v>15</v>
      </c>
      <c r="F61" s="58">
        <f t="shared" si="22"/>
        <v>15</v>
      </c>
      <c r="G61" s="58">
        <f t="shared" si="22"/>
        <v>15</v>
      </c>
      <c r="H61" s="1"/>
    </row>
    <row r="62" spans="1:8" ht="18.75" x14ac:dyDescent="0.3">
      <c r="B62" s="12" t="s">
        <v>171</v>
      </c>
      <c r="C62" s="59" t="s">
        <v>76</v>
      </c>
      <c r="D62" s="59" t="s">
        <v>76</v>
      </c>
      <c r="E62" s="59" t="s">
        <v>76</v>
      </c>
      <c r="F62" s="59" t="s">
        <v>76</v>
      </c>
      <c r="G62" s="59" t="s">
        <v>76</v>
      </c>
      <c r="H62" s="1"/>
    </row>
    <row r="63" spans="1:8" ht="18.75" x14ac:dyDescent="0.3">
      <c r="B63" s="12" t="s">
        <v>119</v>
      </c>
      <c r="C63" s="59">
        <f>16*C61/100</f>
        <v>2.4</v>
      </c>
      <c r="D63" s="59">
        <f t="shared" ref="D63:G63" si="23">16*D61/100</f>
        <v>2.4</v>
      </c>
      <c r="E63" s="59">
        <f t="shared" si="23"/>
        <v>2.4</v>
      </c>
      <c r="F63" s="59">
        <f t="shared" si="23"/>
        <v>2.4</v>
      </c>
      <c r="G63" s="59">
        <f t="shared" si="23"/>
        <v>2.4</v>
      </c>
      <c r="H63" s="1"/>
    </row>
    <row r="64" spans="1:8" ht="18.75" x14ac:dyDescent="0.3">
      <c r="B64" s="207" t="s">
        <v>124</v>
      </c>
      <c r="C64" s="207"/>
      <c r="D64" s="207"/>
      <c r="E64" s="207"/>
      <c r="F64" s="207"/>
      <c r="G64" s="207"/>
      <c r="H64" s="1"/>
    </row>
    <row r="65" spans="2:8" ht="31.5" x14ac:dyDescent="0.3">
      <c r="B65" s="2" t="s">
        <v>50</v>
      </c>
      <c r="C65" s="8">
        <f>1*50</f>
        <v>50</v>
      </c>
      <c r="D65" s="8">
        <f t="shared" ref="D65:G65" si="24">1*50</f>
        <v>50</v>
      </c>
      <c r="E65" s="8">
        <f t="shared" si="24"/>
        <v>50</v>
      </c>
      <c r="F65" s="8">
        <f t="shared" si="24"/>
        <v>50</v>
      </c>
      <c r="G65" s="8">
        <f t="shared" si="24"/>
        <v>50</v>
      </c>
      <c r="H65" s="1"/>
    </row>
    <row r="66" spans="2:8" ht="48" x14ac:dyDescent="0.3">
      <c r="B66" s="12" t="s">
        <v>6</v>
      </c>
      <c r="C66" s="17" t="s">
        <v>77</v>
      </c>
      <c r="D66" s="33" t="s">
        <v>90</v>
      </c>
      <c r="E66" s="33" t="s">
        <v>90</v>
      </c>
      <c r="F66" s="33" t="s">
        <v>90</v>
      </c>
      <c r="G66" s="33" t="s">
        <v>100</v>
      </c>
      <c r="H66" s="1"/>
    </row>
    <row r="67" spans="2:8" ht="18.75" x14ac:dyDescent="0.3">
      <c r="B67" s="12" t="s">
        <v>119</v>
      </c>
      <c r="C67" s="59">
        <f>10*C65/100</f>
        <v>5</v>
      </c>
      <c r="D67" s="59">
        <f t="shared" ref="D67:G67" si="25">10*D65/100</f>
        <v>5</v>
      </c>
      <c r="E67" s="59">
        <f t="shared" si="25"/>
        <v>5</v>
      </c>
      <c r="F67" s="59">
        <f t="shared" si="25"/>
        <v>5</v>
      </c>
      <c r="G67" s="59">
        <f t="shared" si="25"/>
        <v>5</v>
      </c>
      <c r="H67" s="1"/>
    </row>
    <row r="68" spans="2:8" ht="31.5" x14ac:dyDescent="0.3">
      <c r="B68" s="6" t="s">
        <v>51</v>
      </c>
      <c r="C68" s="94">
        <f>1*50</f>
        <v>50</v>
      </c>
      <c r="D68" s="94">
        <f t="shared" ref="D68:G68" si="26">1*50</f>
        <v>50</v>
      </c>
      <c r="E68" s="94">
        <f t="shared" si="26"/>
        <v>50</v>
      </c>
      <c r="F68" s="94">
        <f t="shared" si="26"/>
        <v>50</v>
      </c>
      <c r="G68" s="94">
        <f t="shared" si="26"/>
        <v>50</v>
      </c>
      <c r="H68" s="1"/>
    </row>
    <row r="69" spans="2:8" ht="63.75" x14ac:dyDescent="0.3">
      <c r="B69" s="12" t="s">
        <v>6</v>
      </c>
      <c r="C69" s="92" t="s">
        <v>79</v>
      </c>
      <c r="D69" s="92" t="s">
        <v>79</v>
      </c>
      <c r="E69" s="92" t="s">
        <v>79</v>
      </c>
      <c r="F69" s="92" t="s">
        <v>79</v>
      </c>
      <c r="G69" s="92" t="s">
        <v>79</v>
      </c>
      <c r="H69" s="1"/>
    </row>
    <row r="70" spans="2:8" ht="18.75" x14ac:dyDescent="0.3">
      <c r="B70" s="12" t="s">
        <v>119</v>
      </c>
      <c r="C70" s="59">
        <f>10*C68/100</f>
        <v>5</v>
      </c>
      <c r="D70" s="59">
        <f t="shared" ref="D70:G70" si="27">10*D68/100</f>
        <v>5</v>
      </c>
      <c r="E70" s="59">
        <f t="shared" si="27"/>
        <v>5</v>
      </c>
      <c r="F70" s="59">
        <f t="shared" si="27"/>
        <v>5</v>
      </c>
      <c r="G70" s="59">
        <f t="shared" si="27"/>
        <v>5</v>
      </c>
      <c r="H70" s="1"/>
    </row>
    <row r="71" spans="2:8" ht="18.75" x14ac:dyDescent="0.3">
      <c r="B71" s="207" t="s">
        <v>125</v>
      </c>
      <c r="C71" s="207"/>
      <c r="D71" s="207"/>
      <c r="E71" s="207"/>
      <c r="F71" s="207"/>
      <c r="G71" s="207"/>
      <c r="H71" s="1"/>
    </row>
    <row r="72" spans="2:8" ht="63" x14ac:dyDescent="0.3">
      <c r="B72" s="2" t="s">
        <v>52</v>
      </c>
      <c r="C72" s="8">
        <f>1*50</f>
        <v>50</v>
      </c>
      <c r="D72" s="8">
        <f t="shared" ref="D72:G72" si="28">1*50</f>
        <v>50</v>
      </c>
      <c r="E72" s="8">
        <f t="shared" si="28"/>
        <v>50</v>
      </c>
      <c r="F72" s="8">
        <f t="shared" si="28"/>
        <v>50</v>
      </c>
      <c r="G72" s="8">
        <f t="shared" si="28"/>
        <v>50</v>
      </c>
      <c r="H72" s="1"/>
    </row>
    <row r="73" spans="2:8" ht="54" customHeight="1" x14ac:dyDescent="0.3">
      <c r="B73" s="12" t="s">
        <v>6</v>
      </c>
      <c r="C73" s="35" t="s">
        <v>78</v>
      </c>
      <c r="D73" s="33" t="s">
        <v>78</v>
      </c>
      <c r="E73" s="35" t="s">
        <v>78</v>
      </c>
      <c r="F73" s="33" t="s">
        <v>78</v>
      </c>
      <c r="G73" s="36" t="s">
        <v>78</v>
      </c>
      <c r="H73" s="1"/>
    </row>
    <row r="74" spans="2:8" ht="18.75" x14ac:dyDescent="0.3">
      <c r="B74" s="12" t="s">
        <v>119</v>
      </c>
      <c r="C74" s="59">
        <f>8*C72/100</f>
        <v>4</v>
      </c>
      <c r="D74" s="59">
        <f t="shared" ref="D74:G74" si="29">8*D72/100</f>
        <v>4</v>
      </c>
      <c r="E74" s="59">
        <f t="shared" si="29"/>
        <v>4</v>
      </c>
      <c r="F74" s="59">
        <f t="shared" si="29"/>
        <v>4</v>
      </c>
      <c r="G74" s="59">
        <f t="shared" si="29"/>
        <v>4</v>
      </c>
      <c r="H74" s="1"/>
    </row>
    <row r="75" spans="2:8" ht="78.75" x14ac:dyDescent="0.3">
      <c r="B75" s="2" t="s">
        <v>53</v>
      </c>
      <c r="C75" s="59">
        <f>1*50</f>
        <v>50</v>
      </c>
      <c r="D75" s="59">
        <f t="shared" ref="D75:E75" si="30">1*50</f>
        <v>50</v>
      </c>
      <c r="E75" s="59">
        <f t="shared" si="30"/>
        <v>50</v>
      </c>
      <c r="F75" s="59">
        <f>1*50</f>
        <v>50</v>
      </c>
      <c r="G75" s="59">
        <f>1*50</f>
        <v>50</v>
      </c>
      <c r="H75" s="1"/>
    </row>
    <row r="76" spans="2:8" ht="47.25" x14ac:dyDescent="0.3">
      <c r="B76" s="12" t="s">
        <v>6</v>
      </c>
      <c r="C76" s="95" t="s">
        <v>78</v>
      </c>
      <c r="D76" s="96" t="s">
        <v>78</v>
      </c>
      <c r="E76" s="95" t="s">
        <v>78</v>
      </c>
      <c r="F76" s="96" t="s">
        <v>101</v>
      </c>
      <c r="G76" s="96" t="s">
        <v>101</v>
      </c>
      <c r="H76" s="1"/>
    </row>
    <row r="77" spans="2:8" ht="18.75" x14ac:dyDescent="0.3">
      <c r="B77" s="12" t="s">
        <v>119</v>
      </c>
      <c r="C77" s="59">
        <f>8*C75/100</f>
        <v>4</v>
      </c>
      <c r="D77" s="59">
        <f t="shared" ref="D77:G77" si="31">8*D75/100</f>
        <v>4</v>
      </c>
      <c r="E77" s="59">
        <f t="shared" si="31"/>
        <v>4</v>
      </c>
      <c r="F77" s="59">
        <f t="shared" si="31"/>
        <v>4</v>
      </c>
      <c r="G77" s="59">
        <f t="shared" si="31"/>
        <v>4</v>
      </c>
      <c r="H77" s="1"/>
    </row>
    <row r="78" spans="2:8" ht="18.75" x14ac:dyDescent="0.3">
      <c r="B78" s="42" t="s">
        <v>58</v>
      </c>
      <c r="C78" s="83">
        <f>C6+C9+C12+C15+C18+C22+C25+C28+C31+C34+C37+C41+C44+C47+C50+C54+C57+C60+C63+C67+C70+C74+C77</f>
        <v>71.252499999999998</v>
      </c>
      <c r="D78" s="83">
        <f t="shared" ref="D78:G78" si="32">D6+D9+D12+D15+D18+D22+D25+D28+D31+D34+D37+D41+D44+D47+D50+D54+D57+D60+D63+D67+D70+D74+D77</f>
        <v>68.025000000000006</v>
      </c>
      <c r="E78" s="83">
        <f t="shared" si="32"/>
        <v>73.375</v>
      </c>
      <c r="F78" s="67">
        <f t="shared" si="32"/>
        <v>71.150000000000006</v>
      </c>
      <c r="G78" s="83">
        <f t="shared" si="32"/>
        <v>69.905000000000001</v>
      </c>
      <c r="H78" s="1"/>
    </row>
    <row r="79" spans="2:8" ht="60.75" x14ac:dyDescent="0.3">
      <c r="B79" s="42" t="s">
        <v>61</v>
      </c>
      <c r="C79" s="68" t="s">
        <v>115</v>
      </c>
      <c r="D79" s="68" t="s">
        <v>115</v>
      </c>
      <c r="E79" s="68" t="s">
        <v>115</v>
      </c>
      <c r="F79" s="68" t="s">
        <v>115</v>
      </c>
      <c r="G79" s="68" t="s">
        <v>115</v>
      </c>
    </row>
    <row r="81" spans="2:5" x14ac:dyDescent="0.25">
      <c r="B81" t="s">
        <v>116</v>
      </c>
    </row>
    <row r="82" spans="2:5" x14ac:dyDescent="0.25">
      <c r="B82" t="s">
        <v>117</v>
      </c>
      <c r="E82" t="s">
        <v>118</v>
      </c>
    </row>
  </sheetData>
  <mergeCells count="7">
    <mergeCell ref="B71:G71"/>
    <mergeCell ref="B1:G1"/>
    <mergeCell ref="B3:G3"/>
    <mergeCell ref="B19:G19"/>
    <mergeCell ref="B38:G38"/>
    <mergeCell ref="B51:G51"/>
    <mergeCell ref="B64:G64"/>
  </mergeCells>
  <pageMargins left="0.35433070866141736" right="0" top="0.59055118110236227" bottom="0.59055118110236227" header="0.51181102362204722" footer="0.51181102362204722"/>
  <pageSetup paperSize="9" scale="7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view="pageBreakPreview" zoomScale="60" zoomScaleNormal="100" workbookViewId="0">
      <selection activeCell="G22" sqref="G22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214" t="s">
        <v>186</v>
      </c>
      <c r="C2" s="214"/>
      <c r="D2" s="214"/>
      <c r="E2" s="214"/>
      <c r="F2" s="214"/>
      <c r="G2" s="214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 x14ac:dyDescent="0.3">
      <c r="B4" s="14" t="s">
        <v>27</v>
      </c>
      <c r="C4" s="97">
        <v>0</v>
      </c>
      <c r="D4" s="70">
        <v>0.5</v>
      </c>
      <c r="E4" s="70">
        <v>0.5</v>
      </c>
      <c r="F4" s="70">
        <v>0.5</v>
      </c>
      <c r="G4" s="70">
        <v>0</v>
      </c>
      <c r="H4" s="1"/>
    </row>
    <row r="5" spans="2:8" ht="18.75" x14ac:dyDescent="0.3">
      <c r="B5" s="12" t="s">
        <v>6</v>
      </c>
      <c r="C5" s="69" t="s">
        <v>128</v>
      </c>
      <c r="D5" s="50">
        <v>7</v>
      </c>
      <c r="E5" s="50">
        <v>2</v>
      </c>
      <c r="F5" s="50">
        <v>2</v>
      </c>
      <c r="G5" s="50" t="s">
        <v>132</v>
      </c>
      <c r="H5" s="1"/>
    </row>
    <row r="6" spans="2:8" ht="18.75" x14ac:dyDescent="0.3">
      <c r="B6" s="12" t="s">
        <v>26</v>
      </c>
      <c r="C6" s="69">
        <v>0</v>
      </c>
      <c r="D6" s="50">
        <v>12.5</v>
      </c>
      <c r="E6" s="50">
        <v>12.5</v>
      </c>
      <c r="F6" s="50">
        <v>12.5</v>
      </c>
      <c r="G6" s="50">
        <v>0</v>
      </c>
      <c r="H6" s="1"/>
    </row>
    <row r="7" spans="2:8" ht="63" x14ac:dyDescent="0.3">
      <c r="B7" s="2" t="s">
        <v>30</v>
      </c>
      <c r="C7" s="98">
        <v>1</v>
      </c>
      <c r="D7" s="50">
        <v>1</v>
      </c>
      <c r="E7" s="50">
        <v>1</v>
      </c>
      <c r="F7" s="50">
        <v>1</v>
      </c>
      <c r="G7" s="50">
        <v>1</v>
      </c>
      <c r="H7" s="1"/>
    </row>
    <row r="8" spans="2:8" ht="18.75" x14ac:dyDescent="0.3">
      <c r="B8" s="12" t="s">
        <v>6</v>
      </c>
      <c r="C8" s="69" t="s">
        <v>63</v>
      </c>
      <c r="D8" s="99"/>
      <c r="E8" s="99"/>
      <c r="F8" s="99"/>
      <c r="G8" s="99"/>
      <c r="H8" s="1"/>
    </row>
    <row r="9" spans="2:8" ht="18.75" x14ac:dyDescent="0.3">
      <c r="B9" s="12" t="s">
        <v>26</v>
      </c>
      <c r="C9" s="69">
        <v>25</v>
      </c>
      <c r="D9" s="50">
        <v>25</v>
      </c>
      <c r="E9" s="50">
        <v>25</v>
      </c>
      <c r="F9" s="50">
        <v>25</v>
      </c>
      <c r="G9" s="50">
        <v>25</v>
      </c>
      <c r="H9" s="1"/>
    </row>
    <row r="10" spans="2:8" ht="63.75" x14ac:dyDescent="0.3">
      <c r="B10" s="7" t="s">
        <v>29</v>
      </c>
      <c r="C10" s="69">
        <v>1</v>
      </c>
      <c r="D10" s="50">
        <v>1</v>
      </c>
      <c r="E10" s="50">
        <v>1</v>
      </c>
      <c r="F10" s="50">
        <v>1</v>
      </c>
      <c r="G10" s="50">
        <v>1</v>
      </c>
      <c r="H10" s="1"/>
    </row>
    <row r="11" spans="2:8" ht="18.75" x14ac:dyDescent="0.3">
      <c r="B11" s="12" t="s">
        <v>6</v>
      </c>
      <c r="C11" s="69" t="s">
        <v>64</v>
      </c>
      <c r="D11" s="99"/>
      <c r="E11" s="99"/>
      <c r="F11" s="99"/>
      <c r="G11" s="99"/>
      <c r="H11" s="1"/>
    </row>
    <row r="12" spans="2:8" ht="18.75" x14ac:dyDescent="0.3">
      <c r="B12" s="12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"/>
    </row>
    <row r="13" spans="2:8" ht="79.5" x14ac:dyDescent="0.3">
      <c r="B13" s="7" t="s">
        <v>28</v>
      </c>
      <c r="C13" s="100">
        <v>1</v>
      </c>
      <c r="D13" s="100">
        <v>1</v>
      </c>
      <c r="E13" s="100">
        <v>1</v>
      </c>
      <c r="F13" s="100">
        <v>1</v>
      </c>
      <c r="G13" s="100">
        <v>1</v>
      </c>
      <c r="H13" s="1"/>
    </row>
    <row r="14" spans="2:8" ht="51.75" x14ac:dyDescent="0.3">
      <c r="B14" s="12" t="s">
        <v>6</v>
      </c>
      <c r="C14" s="101" t="s">
        <v>59</v>
      </c>
      <c r="D14" s="102" t="s">
        <v>59</v>
      </c>
      <c r="E14" s="102" t="s">
        <v>59</v>
      </c>
      <c r="F14" s="102" t="s">
        <v>59</v>
      </c>
      <c r="G14" s="101" t="s">
        <v>59</v>
      </c>
      <c r="H14" s="1"/>
    </row>
    <row r="15" spans="2:8" ht="18.75" x14ac:dyDescent="0.3">
      <c r="B15" s="12" t="s">
        <v>26</v>
      </c>
      <c r="C15" s="70">
        <f>30*1</f>
        <v>30</v>
      </c>
      <c r="D15" s="70">
        <f t="shared" ref="D15:G15" si="0">30*1</f>
        <v>30</v>
      </c>
      <c r="E15" s="70">
        <f t="shared" si="0"/>
        <v>30</v>
      </c>
      <c r="F15" s="70">
        <f t="shared" si="0"/>
        <v>30</v>
      </c>
      <c r="G15" s="70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75</v>
      </c>
      <c r="D16" s="39">
        <f t="shared" ref="D16:G16" si="1">D6+D9+D12+D15</f>
        <v>87.5</v>
      </c>
      <c r="E16" s="39">
        <f t="shared" si="1"/>
        <v>87.5</v>
      </c>
      <c r="F16" s="39">
        <f t="shared" si="1"/>
        <v>87.5</v>
      </c>
      <c r="G16" s="39">
        <f t="shared" si="1"/>
        <v>75</v>
      </c>
      <c r="H16" s="1"/>
    </row>
    <row r="17" spans="2:8" ht="18.75" x14ac:dyDescent="0.3">
      <c r="B17" s="37" t="s">
        <v>55</v>
      </c>
      <c r="C17" s="40" t="s">
        <v>135</v>
      </c>
      <c r="D17" s="40" t="s">
        <v>134</v>
      </c>
      <c r="E17" s="40" t="s">
        <v>134</v>
      </c>
      <c r="F17" s="40" t="s">
        <v>134</v>
      </c>
      <c r="G17" s="40" t="s">
        <v>135</v>
      </c>
      <c r="H17" s="1"/>
    </row>
    <row r="18" spans="2:8" ht="33.75" x14ac:dyDescent="0.3">
      <c r="B18" s="53" t="s">
        <v>54</v>
      </c>
      <c r="C18" s="215">
        <f>(C16+D16+E16+F16+G16)/5</f>
        <v>82.5</v>
      </c>
      <c r="D18" s="216"/>
      <c r="E18" s="216"/>
      <c r="F18" s="216"/>
      <c r="G18" s="217"/>
      <c r="H18" s="1"/>
    </row>
    <row r="19" spans="2:8" ht="93.75" x14ac:dyDescent="0.3">
      <c r="B19" s="38" t="s">
        <v>57</v>
      </c>
      <c r="C19" s="48">
        <f>100-C16</f>
        <v>25</v>
      </c>
      <c r="D19" s="48">
        <f t="shared" ref="D19:G19" si="2">100-D16</f>
        <v>12.5</v>
      </c>
      <c r="E19" s="48">
        <f t="shared" si="2"/>
        <v>12.5</v>
      </c>
      <c r="F19" s="48">
        <f t="shared" si="2"/>
        <v>12.5</v>
      </c>
      <c r="G19" s="48">
        <f t="shared" si="2"/>
        <v>25</v>
      </c>
      <c r="H19" s="1"/>
    </row>
    <row r="20" spans="2:8" ht="59.25" customHeight="1" x14ac:dyDescent="0.3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ht="16.5" x14ac:dyDescent="0.25">
      <c r="B22" s="71" t="s">
        <v>129</v>
      </c>
      <c r="C22" s="71"/>
      <c r="D22" s="71"/>
      <c r="E22" s="71"/>
      <c r="F22" s="71"/>
      <c r="G22" s="71" t="s">
        <v>118</v>
      </c>
    </row>
    <row r="23" spans="2:8" ht="16.5" x14ac:dyDescent="0.25">
      <c r="B23" s="71"/>
      <c r="C23" s="71"/>
      <c r="D23" s="71"/>
      <c r="E23" s="71"/>
      <c r="F23" s="71"/>
      <c r="G23" s="71"/>
    </row>
    <row r="24" spans="2:8" ht="16.5" x14ac:dyDescent="0.25">
      <c r="B24" s="71" t="s">
        <v>185</v>
      </c>
      <c r="C24" s="71"/>
      <c r="D24" s="71"/>
      <c r="E24" s="71"/>
      <c r="F24" s="71"/>
      <c r="G24" s="71"/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scale="93" orientation="landscape" r:id="rId1"/>
  <rowBreaks count="1" manualBreakCount="1">
    <brk id="1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view="pageBreakPreview" zoomScale="70" zoomScaleNormal="100" zoomScaleSheetLayoutView="70" workbookViewId="0">
      <selection activeCell="D9" sqref="D9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214" t="s">
        <v>187</v>
      </c>
      <c r="C2" s="214"/>
      <c r="D2" s="214"/>
      <c r="E2" s="214"/>
      <c r="F2" s="214"/>
      <c r="G2" s="214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 x14ac:dyDescent="0.3">
      <c r="B4" s="14" t="s">
        <v>27</v>
      </c>
      <c r="C4" s="97">
        <v>0</v>
      </c>
      <c r="D4" s="70">
        <v>0.5</v>
      </c>
      <c r="E4" s="70">
        <v>1</v>
      </c>
      <c r="F4" s="70">
        <v>0.5</v>
      </c>
      <c r="G4" s="70">
        <v>0.5</v>
      </c>
      <c r="H4" s="1"/>
    </row>
    <row r="5" spans="2:8" ht="18.75" x14ac:dyDescent="0.3">
      <c r="B5" s="12" t="s">
        <v>6</v>
      </c>
      <c r="C5" s="69" t="s">
        <v>128</v>
      </c>
      <c r="D5" s="50">
        <v>6</v>
      </c>
      <c r="E5" s="50">
        <v>0</v>
      </c>
      <c r="F5" s="50">
        <v>2</v>
      </c>
      <c r="G5" s="50">
        <v>7</v>
      </c>
      <c r="H5" s="1"/>
    </row>
    <row r="6" spans="2:8" ht="18.75" x14ac:dyDescent="0.3">
      <c r="B6" s="12" t="s">
        <v>26</v>
      </c>
      <c r="C6" s="69">
        <v>0</v>
      </c>
      <c r="D6" s="50">
        <v>12.5</v>
      </c>
      <c r="E6" s="50">
        <v>25</v>
      </c>
      <c r="F6" s="50">
        <v>12.5</v>
      </c>
      <c r="G6" s="50">
        <v>12.5</v>
      </c>
      <c r="H6" s="1"/>
    </row>
    <row r="7" spans="2:8" ht="63" x14ac:dyDescent="0.3">
      <c r="B7" s="2" t="s">
        <v>30</v>
      </c>
      <c r="C7" s="98">
        <v>0</v>
      </c>
      <c r="D7" s="50">
        <v>1</v>
      </c>
      <c r="E7" s="50">
        <v>1</v>
      </c>
      <c r="F7" s="50">
        <v>1</v>
      </c>
      <c r="G7" s="50">
        <v>1</v>
      </c>
      <c r="H7" s="1"/>
    </row>
    <row r="8" spans="2:8" ht="41.25" customHeight="1" x14ac:dyDescent="0.3">
      <c r="B8" s="12" t="s">
        <v>6</v>
      </c>
      <c r="C8" s="103" t="s">
        <v>188</v>
      </c>
      <c r="D8" s="219" t="s">
        <v>63</v>
      </c>
      <c r="E8" s="220"/>
      <c r="F8" s="220"/>
      <c r="G8" s="221"/>
      <c r="H8" s="1"/>
    </row>
    <row r="9" spans="2:8" ht="18.75" x14ac:dyDescent="0.3">
      <c r="B9" s="87" t="s">
        <v>26</v>
      </c>
      <c r="C9" s="69">
        <v>0</v>
      </c>
      <c r="D9" s="50">
        <v>25</v>
      </c>
      <c r="E9" s="50">
        <v>25</v>
      </c>
      <c r="F9" s="50">
        <v>25</v>
      </c>
      <c r="G9" s="50">
        <v>25</v>
      </c>
      <c r="H9" s="1"/>
    </row>
    <row r="10" spans="2:8" ht="63.75" x14ac:dyDescent="0.3">
      <c r="B10" s="62" t="s">
        <v>29</v>
      </c>
      <c r="C10" s="69">
        <v>1</v>
      </c>
      <c r="D10" s="50">
        <v>1</v>
      </c>
      <c r="E10" s="50">
        <v>1</v>
      </c>
      <c r="F10" s="50">
        <v>1</v>
      </c>
      <c r="G10" s="50">
        <v>1</v>
      </c>
      <c r="H10" s="1"/>
    </row>
    <row r="11" spans="2:8" ht="18.75" x14ac:dyDescent="0.3">
      <c r="B11" s="12" t="s">
        <v>6</v>
      </c>
      <c r="C11" s="69" t="s">
        <v>64</v>
      </c>
      <c r="D11" s="99"/>
      <c r="E11" s="99"/>
      <c r="F11" s="99"/>
      <c r="G11" s="99"/>
      <c r="H11" s="1"/>
    </row>
    <row r="12" spans="2:8" ht="18.75" x14ac:dyDescent="0.3">
      <c r="B12" s="12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"/>
    </row>
    <row r="13" spans="2:8" ht="79.5" x14ac:dyDescent="0.3">
      <c r="B13" s="7" t="s">
        <v>28</v>
      </c>
      <c r="C13" s="100">
        <v>1</v>
      </c>
      <c r="D13" s="100">
        <v>1</v>
      </c>
      <c r="E13" s="100">
        <v>1</v>
      </c>
      <c r="F13" s="100">
        <v>1</v>
      </c>
      <c r="G13" s="100">
        <v>1</v>
      </c>
      <c r="H13" s="1"/>
    </row>
    <row r="14" spans="2:8" ht="51.75" x14ac:dyDescent="0.3">
      <c r="B14" s="12" t="s">
        <v>6</v>
      </c>
      <c r="C14" s="101" t="s">
        <v>59</v>
      </c>
      <c r="D14" s="102" t="s">
        <v>59</v>
      </c>
      <c r="E14" s="102" t="s">
        <v>59</v>
      </c>
      <c r="F14" s="102" t="s">
        <v>59</v>
      </c>
      <c r="G14" s="101" t="s">
        <v>59</v>
      </c>
      <c r="H14" s="1"/>
    </row>
    <row r="15" spans="2:8" ht="18.75" x14ac:dyDescent="0.3">
      <c r="B15" s="12" t="s">
        <v>26</v>
      </c>
      <c r="C15" s="70">
        <f>30*1</f>
        <v>30</v>
      </c>
      <c r="D15" s="70">
        <f t="shared" ref="D15:G15" si="0">30*1</f>
        <v>30</v>
      </c>
      <c r="E15" s="70">
        <f t="shared" si="0"/>
        <v>30</v>
      </c>
      <c r="F15" s="70">
        <f t="shared" si="0"/>
        <v>30</v>
      </c>
      <c r="G15" s="70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50</v>
      </c>
      <c r="D16" s="39">
        <f t="shared" ref="D16:G16" si="1">D6+D9+D12+D15</f>
        <v>87.5</v>
      </c>
      <c r="E16" s="39">
        <f t="shared" si="1"/>
        <v>100</v>
      </c>
      <c r="F16" s="39">
        <f t="shared" si="1"/>
        <v>87.5</v>
      </c>
      <c r="G16" s="39">
        <f t="shared" si="1"/>
        <v>87.5</v>
      </c>
      <c r="H16" s="1"/>
    </row>
    <row r="17" spans="2:8" ht="18.75" x14ac:dyDescent="0.3">
      <c r="B17" s="37" t="s">
        <v>55</v>
      </c>
      <c r="C17" s="40" t="s">
        <v>191</v>
      </c>
      <c r="D17" s="40" t="s">
        <v>190</v>
      </c>
      <c r="E17" s="40" t="s">
        <v>189</v>
      </c>
      <c r="F17" s="40" t="s">
        <v>190</v>
      </c>
      <c r="G17" s="40" t="s">
        <v>190</v>
      </c>
      <c r="H17" s="1"/>
    </row>
    <row r="18" spans="2:8" ht="33.75" x14ac:dyDescent="0.3">
      <c r="B18" s="53" t="s">
        <v>54</v>
      </c>
      <c r="C18" s="215">
        <f>(C16+D16+E16+F16+G16)/5</f>
        <v>82.5</v>
      </c>
      <c r="D18" s="216"/>
      <c r="E18" s="216"/>
      <c r="F18" s="216"/>
      <c r="G18" s="217"/>
      <c r="H18" s="1"/>
    </row>
    <row r="19" spans="2:8" ht="93.75" x14ac:dyDescent="0.3">
      <c r="B19" s="38" t="s">
        <v>57</v>
      </c>
      <c r="C19" s="48">
        <f>100-C16</f>
        <v>50</v>
      </c>
      <c r="D19" s="48">
        <f t="shared" ref="D19:G19" si="2">100-D16</f>
        <v>12.5</v>
      </c>
      <c r="E19" s="48">
        <f t="shared" si="2"/>
        <v>0</v>
      </c>
      <c r="F19" s="48">
        <f t="shared" si="2"/>
        <v>12.5</v>
      </c>
      <c r="G19" s="48">
        <f t="shared" si="2"/>
        <v>12.5</v>
      </c>
      <c r="H19" s="1"/>
    </row>
    <row r="20" spans="2:8" ht="74.25" customHeight="1" x14ac:dyDescent="0.3">
      <c r="B20" s="54" t="s">
        <v>61</v>
      </c>
      <c r="C20" s="44" t="s">
        <v>193</v>
      </c>
      <c r="D20" s="44" t="s">
        <v>60</v>
      </c>
      <c r="E20" s="44" t="s">
        <v>192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ht="16.5" x14ac:dyDescent="0.25">
      <c r="B22" s="71" t="s">
        <v>194</v>
      </c>
      <c r="C22" s="71"/>
      <c r="D22" s="71"/>
      <c r="E22" s="71"/>
      <c r="F22" s="71"/>
      <c r="G22" s="71" t="s">
        <v>195</v>
      </c>
    </row>
    <row r="23" spans="2:8" ht="16.5" x14ac:dyDescent="0.25">
      <c r="B23" s="71"/>
      <c r="C23" s="71"/>
      <c r="D23" s="71"/>
      <c r="E23" s="71"/>
      <c r="F23" s="71"/>
      <c r="G23" s="71"/>
    </row>
    <row r="24" spans="2:8" ht="16.5" x14ac:dyDescent="0.25">
      <c r="B24" s="71" t="s">
        <v>185</v>
      </c>
      <c r="C24" s="71"/>
      <c r="D24" s="71"/>
      <c r="E24" s="71"/>
      <c r="F24" s="71"/>
      <c r="G24" s="71"/>
    </row>
  </sheetData>
  <mergeCells count="3">
    <mergeCell ref="B2:G2"/>
    <mergeCell ref="C18:G18"/>
    <mergeCell ref="D8:G8"/>
  </mergeCells>
  <pageMargins left="0.35433070866141736" right="0.15748031496062992" top="0.78740157480314965" bottom="0.59055118110236227" header="0.51181102362204722" footer="0.51181102362204722"/>
  <pageSetup paperSize="9" scale="93" orientation="landscape" r:id="rId1"/>
  <rowBreaks count="1" manualBreakCount="1">
    <brk id="13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view="pageBreakPreview" zoomScale="70" zoomScaleNormal="100" zoomScaleSheetLayoutView="70" workbookViewId="0">
      <selection activeCell="D19" sqref="D19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214" t="s">
        <v>196</v>
      </c>
      <c r="C2" s="214"/>
      <c r="D2" s="214"/>
      <c r="E2" s="214"/>
      <c r="F2" s="214"/>
      <c r="G2" s="214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s="106" customFormat="1" ht="30" x14ac:dyDescent="0.3">
      <c r="B4" s="104" t="s">
        <v>27</v>
      </c>
      <c r="C4" s="97">
        <v>0</v>
      </c>
      <c r="D4" s="70">
        <v>0.5</v>
      </c>
      <c r="E4" s="70">
        <v>0.5</v>
      </c>
      <c r="F4" s="70">
        <v>0.5</v>
      </c>
      <c r="G4" s="70">
        <v>0</v>
      </c>
      <c r="H4" s="105"/>
    </row>
    <row r="5" spans="2:8" s="106" customFormat="1" ht="18.75" x14ac:dyDescent="0.3">
      <c r="B5" s="87" t="s">
        <v>6</v>
      </c>
      <c r="C5" s="69" t="s">
        <v>128</v>
      </c>
      <c r="D5" s="50">
        <v>6</v>
      </c>
      <c r="E5" s="50">
        <v>3</v>
      </c>
      <c r="F5" s="50">
        <v>5</v>
      </c>
      <c r="G5" s="69" t="s">
        <v>128</v>
      </c>
      <c r="H5" s="105"/>
    </row>
    <row r="6" spans="2:8" s="106" customFormat="1" ht="18.75" x14ac:dyDescent="0.3">
      <c r="B6" s="87" t="s">
        <v>26</v>
      </c>
      <c r="C6" s="69">
        <v>0</v>
      </c>
      <c r="D6" s="50">
        <v>12.5</v>
      </c>
      <c r="E6" s="50">
        <v>12.5</v>
      </c>
      <c r="F6" s="50">
        <v>12.5</v>
      </c>
      <c r="G6" s="50">
        <v>0</v>
      </c>
      <c r="H6" s="105"/>
    </row>
    <row r="7" spans="2:8" s="106" customFormat="1" ht="63" x14ac:dyDescent="0.3">
      <c r="B7" s="107" t="s">
        <v>30</v>
      </c>
      <c r="C7" s="98">
        <v>1</v>
      </c>
      <c r="D7" s="50">
        <v>1</v>
      </c>
      <c r="E7" s="50">
        <v>1</v>
      </c>
      <c r="F7" s="50">
        <v>1</v>
      </c>
      <c r="G7" s="50">
        <v>1</v>
      </c>
      <c r="H7" s="105"/>
    </row>
    <row r="8" spans="2:8" s="106" customFormat="1" ht="76.5" customHeight="1" x14ac:dyDescent="0.3">
      <c r="B8" s="87" t="s">
        <v>6</v>
      </c>
      <c r="C8" s="103" t="s">
        <v>197</v>
      </c>
      <c r="D8" s="219" t="s">
        <v>63</v>
      </c>
      <c r="E8" s="222"/>
      <c r="F8" s="222"/>
      <c r="G8" s="223"/>
      <c r="H8" s="105"/>
    </row>
    <row r="9" spans="2:8" s="106" customFormat="1" ht="18.75" x14ac:dyDescent="0.3">
      <c r="B9" s="87" t="s">
        <v>26</v>
      </c>
      <c r="C9" s="69">
        <v>25</v>
      </c>
      <c r="D9" s="50">
        <v>25</v>
      </c>
      <c r="E9" s="50">
        <v>25</v>
      </c>
      <c r="F9" s="50">
        <v>25</v>
      </c>
      <c r="G9" s="50">
        <v>25</v>
      </c>
      <c r="H9" s="105"/>
    </row>
    <row r="10" spans="2:8" s="106" customFormat="1" ht="63.75" x14ac:dyDescent="0.3">
      <c r="B10" s="62" t="s">
        <v>29</v>
      </c>
      <c r="C10" s="69">
        <v>1</v>
      </c>
      <c r="D10" s="50">
        <v>1</v>
      </c>
      <c r="E10" s="50">
        <v>1</v>
      </c>
      <c r="F10" s="50">
        <v>1</v>
      </c>
      <c r="G10" s="50">
        <v>1</v>
      </c>
      <c r="H10" s="105"/>
    </row>
    <row r="11" spans="2:8" s="106" customFormat="1" ht="18.75" x14ac:dyDescent="0.3">
      <c r="B11" s="87" t="s">
        <v>6</v>
      </c>
      <c r="C11" s="69" t="s">
        <v>64</v>
      </c>
      <c r="D11" s="99"/>
      <c r="E11" s="99"/>
      <c r="F11" s="99"/>
      <c r="G11" s="99"/>
      <c r="H11" s="105"/>
    </row>
    <row r="12" spans="2:8" s="106" customFormat="1" ht="18.75" x14ac:dyDescent="0.3">
      <c r="B12" s="87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05"/>
    </row>
    <row r="13" spans="2:8" s="106" customFormat="1" ht="79.5" x14ac:dyDescent="0.3">
      <c r="B13" s="62" t="s">
        <v>28</v>
      </c>
      <c r="C13" s="100">
        <v>1</v>
      </c>
      <c r="D13" s="100">
        <v>1</v>
      </c>
      <c r="E13" s="100">
        <v>1</v>
      </c>
      <c r="F13" s="100">
        <v>1</v>
      </c>
      <c r="G13" s="100">
        <v>1</v>
      </c>
      <c r="H13" s="105"/>
    </row>
    <row r="14" spans="2:8" ht="51.75" x14ac:dyDescent="0.3">
      <c r="B14" s="12" t="s">
        <v>6</v>
      </c>
      <c r="C14" s="101" t="s">
        <v>59</v>
      </c>
      <c r="D14" s="102" t="s">
        <v>59</v>
      </c>
      <c r="E14" s="102" t="s">
        <v>59</v>
      </c>
      <c r="F14" s="102" t="s">
        <v>59</v>
      </c>
      <c r="G14" s="101" t="s">
        <v>59</v>
      </c>
      <c r="H14" s="1"/>
    </row>
    <row r="15" spans="2:8" ht="18.75" x14ac:dyDescent="0.3">
      <c r="B15" s="12" t="s">
        <v>26</v>
      </c>
      <c r="C15" s="70">
        <f>30*1</f>
        <v>30</v>
      </c>
      <c r="D15" s="70">
        <f t="shared" ref="D15:G15" si="0">30*1</f>
        <v>30</v>
      </c>
      <c r="E15" s="70">
        <f t="shared" si="0"/>
        <v>30</v>
      </c>
      <c r="F15" s="70">
        <f t="shared" si="0"/>
        <v>30</v>
      </c>
      <c r="G15" s="70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75</v>
      </c>
      <c r="D16" s="39">
        <f t="shared" ref="D16:G16" si="1">D6+D9+D12+D15</f>
        <v>87.5</v>
      </c>
      <c r="E16" s="39">
        <f t="shared" si="1"/>
        <v>87.5</v>
      </c>
      <c r="F16" s="39">
        <f t="shared" si="1"/>
        <v>87.5</v>
      </c>
      <c r="G16" s="39">
        <f t="shared" si="1"/>
        <v>75</v>
      </c>
      <c r="H16" s="1"/>
    </row>
    <row r="17" spans="2:8" ht="18.75" x14ac:dyDescent="0.3">
      <c r="B17" s="37" t="s">
        <v>55</v>
      </c>
      <c r="C17" s="40" t="s">
        <v>135</v>
      </c>
      <c r="D17" s="40" t="s">
        <v>134</v>
      </c>
      <c r="E17" s="40" t="s">
        <v>134</v>
      </c>
      <c r="F17" s="40" t="s">
        <v>134</v>
      </c>
      <c r="G17" s="40" t="s">
        <v>135</v>
      </c>
      <c r="H17" s="1"/>
    </row>
    <row r="18" spans="2:8" ht="33.75" x14ac:dyDescent="0.3">
      <c r="B18" s="53" t="s">
        <v>54</v>
      </c>
      <c r="C18" s="215">
        <f>(C16+D16+E16+F16+G16)/5</f>
        <v>82.5</v>
      </c>
      <c r="D18" s="216"/>
      <c r="E18" s="216"/>
      <c r="F18" s="216"/>
      <c r="G18" s="217"/>
      <c r="H18" s="1"/>
    </row>
    <row r="19" spans="2:8" ht="93.75" x14ac:dyDescent="0.3">
      <c r="B19" s="38" t="s">
        <v>57</v>
      </c>
      <c r="C19" s="48">
        <f>100-C16</f>
        <v>25</v>
      </c>
      <c r="D19" s="48">
        <f t="shared" ref="D19:G19" si="2">100-D16</f>
        <v>12.5</v>
      </c>
      <c r="E19" s="48">
        <f t="shared" si="2"/>
        <v>12.5</v>
      </c>
      <c r="F19" s="48">
        <f t="shared" si="2"/>
        <v>12.5</v>
      </c>
      <c r="G19" s="48">
        <f t="shared" si="2"/>
        <v>25</v>
      </c>
      <c r="H19" s="1"/>
    </row>
    <row r="20" spans="2:8" ht="74.25" customHeight="1" x14ac:dyDescent="0.3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ht="16.5" x14ac:dyDescent="0.25">
      <c r="B22" s="71" t="s">
        <v>194</v>
      </c>
      <c r="C22" s="71"/>
      <c r="D22" s="71"/>
      <c r="E22" s="71"/>
      <c r="F22" s="71"/>
      <c r="G22" s="71" t="s">
        <v>195</v>
      </c>
    </row>
    <row r="23" spans="2:8" ht="16.5" x14ac:dyDescent="0.25">
      <c r="B23" s="71"/>
      <c r="C23" s="71"/>
      <c r="D23" s="71"/>
      <c r="E23" s="71"/>
      <c r="F23" s="71"/>
      <c r="G23" s="71"/>
    </row>
    <row r="24" spans="2:8" ht="16.5" x14ac:dyDescent="0.25">
      <c r="B24" s="71" t="s">
        <v>185</v>
      </c>
      <c r="C24" s="71"/>
      <c r="D24" s="71"/>
      <c r="E24" s="71"/>
      <c r="F24" s="71"/>
      <c r="G24" s="71"/>
    </row>
  </sheetData>
  <mergeCells count="3">
    <mergeCell ref="B2:G2"/>
    <mergeCell ref="D8:G8"/>
    <mergeCell ref="C18:G18"/>
  </mergeCells>
  <pageMargins left="0.35433070866141736" right="0.15748031496062992" top="0.78740157480314965" bottom="0.59055118110236227" header="0.51181102362204722" footer="0.51181102362204722"/>
  <pageSetup paperSize="9" scale="93" orientation="landscape" r:id="rId1"/>
  <rowBreaks count="1" manualBreakCount="1">
    <brk id="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</vt:i4>
      </vt:variant>
    </vt:vector>
  </HeadingPairs>
  <TitlesOfParts>
    <vt:vector size="28" baseType="lpstr">
      <vt:lpstr>2015г </vt:lpstr>
      <vt:lpstr>1 кв 2016г </vt:lpstr>
      <vt:lpstr>2 кв 2016г  (2)</vt:lpstr>
      <vt:lpstr>3 кв 2016г </vt:lpstr>
      <vt:lpstr>4 кв 2016г </vt:lpstr>
      <vt:lpstr>2016г  </vt:lpstr>
      <vt:lpstr>1 кв 2017г</vt:lpstr>
      <vt:lpstr>2 кв 2017г </vt:lpstr>
      <vt:lpstr>3 кв 2017г</vt:lpstr>
      <vt:lpstr>4 кв 2017г</vt:lpstr>
      <vt:lpstr>2017г</vt:lpstr>
      <vt:lpstr>1 кв 2018г </vt:lpstr>
      <vt:lpstr>2 кв 2018г</vt:lpstr>
      <vt:lpstr>3 кв 2018г </vt:lpstr>
      <vt:lpstr>2018г</vt:lpstr>
      <vt:lpstr>1 кв 2019г</vt:lpstr>
      <vt:lpstr>2 кв 2019г</vt:lpstr>
      <vt:lpstr>3 кв 2019г</vt:lpstr>
      <vt:lpstr>2019г</vt:lpstr>
      <vt:lpstr>1 кв 2020г</vt:lpstr>
      <vt:lpstr>2 кв 2020г</vt:lpstr>
      <vt:lpstr>3 кв 2020г</vt:lpstr>
      <vt:lpstr>2020г</vt:lpstr>
      <vt:lpstr>1 кв 2021г</vt:lpstr>
      <vt:lpstr>2 кв 2021г</vt:lpstr>
      <vt:lpstr>3 кв 2021г</vt:lpstr>
      <vt:lpstr>2021г</vt:lpstr>
      <vt:lpstr>'4 кв 2017г'!Область_печати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2022-03-02T04:51:00Z</dcterms:modified>
</cp:coreProperties>
</file>